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395" yWindow="-105" windowWidth="14850" windowHeight="11760" activeTab="2"/>
  </bookViews>
  <sheets>
    <sheet name="Bilan - Standardisé" sheetId="2" r:id="rId1"/>
    <sheet name="compte de résultat" sheetId="4" r:id="rId2"/>
    <sheet name="Feuil1" sheetId="3" r:id="rId3"/>
  </sheets>
  <calcPr calcId="162913"/>
</workbook>
</file>

<file path=xl/calcChain.xml><?xml version="1.0" encoding="utf-8"?>
<calcChain xmlns="http://schemas.openxmlformats.org/spreadsheetml/2006/main">
  <c r="C35" i="3" l="1"/>
  <c r="D35" i="3"/>
  <c r="E35" i="3"/>
  <c r="F35" i="3"/>
  <c r="G35" i="3"/>
  <c r="H35" i="3"/>
  <c r="I35" i="3"/>
  <c r="J35" i="3"/>
  <c r="K35" i="3"/>
  <c r="B35" i="3"/>
  <c r="C34" i="3"/>
  <c r="D34" i="3"/>
  <c r="E34" i="3"/>
  <c r="F34" i="3"/>
  <c r="G34" i="3"/>
  <c r="H34" i="3"/>
  <c r="I34" i="3"/>
  <c r="J34" i="3"/>
  <c r="K34" i="3"/>
  <c r="B34" i="3"/>
  <c r="C33" i="3"/>
  <c r="D33" i="3"/>
  <c r="E33" i="3"/>
  <c r="F33" i="3"/>
  <c r="G33" i="3"/>
  <c r="H33" i="3"/>
  <c r="I33" i="3"/>
  <c r="J33" i="3"/>
  <c r="K33" i="3"/>
  <c r="B33" i="3"/>
  <c r="C32" i="3"/>
  <c r="D32" i="3"/>
  <c r="E32" i="3"/>
  <c r="F32" i="3"/>
  <c r="G32" i="3"/>
  <c r="H32" i="3"/>
  <c r="I32" i="3"/>
  <c r="J32" i="3"/>
  <c r="K32" i="3"/>
  <c r="B32" i="3"/>
  <c r="B28" i="3"/>
  <c r="C20" i="3"/>
  <c r="D20" i="3"/>
  <c r="E20" i="3"/>
  <c r="F20" i="3"/>
  <c r="G20" i="3"/>
  <c r="H20" i="3"/>
  <c r="I20" i="3"/>
  <c r="J20" i="3"/>
  <c r="K20" i="3"/>
  <c r="B20" i="3"/>
  <c r="C19" i="3"/>
  <c r="D19" i="3"/>
  <c r="E19" i="3"/>
  <c r="F19" i="3"/>
  <c r="G19" i="3"/>
  <c r="H19" i="3"/>
  <c r="I19" i="3"/>
  <c r="J19" i="3"/>
  <c r="K19" i="3"/>
  <c r="B19" i="3"/>
  <c r="D18" i="3"/>
  <c r="E18" i="3"/>
  <c r="F18" i="3"/>
  <c r="G18" i="3"/>
  <c r="H18" i="3"/>
  <c r="I18" i="3"/>
  <c r="J18" i="3"/>
  <c r="K18" i="3"/>
  <c r="B18" i="3"/>
  <c r="C17" i="3"/>
  <c r="D17" i="3"/>
  <c r="E17" i="3"/>
  <c r="F17" i="3"/>
  <c r="G17" i="3"/>
  <c r="H17" i="3"/>
  <c r="I17" i="3"/>
  <c r="J17" i="3"/>
  <c r="K17" i="3"/>
  <c r="B17" i="3"/>
  <c r="B14" i="3"/>
  <c r="C12" i="3"/>
  <c r="D12" i="3"/>
  <c r="E12" i="3"/>
  <c r="F12" i="3"/>
  <c r="G12" i="3"/>
  <c r="H12" i="3"/>
  <c r="I12" i="3"/>
  <c r="J12" i="3"/>
  <c r="K12" i="3"/>
  <c r="B12" i="3"/>
  <c r="C31" i="3" l="1"/>
  <c r="D31" i="3"/>
  <c r="E31" i="3"/>
  <c r="F31" i="3"/>
  <c r="G31" i="3"/>
  <c r="H31" i="3"/>
  <c r="I31" i="3"/>
  <c r="J31" i="3"/>
  <c r="K31" i="3"/>
  <c r="B31" i="3"/>
  <c r="K41" i="3"/>
  <c r="I9" i="3"/>
  <c r="F9" i="3"/>
  <c r="G9" i="3"/>
  <c r="D9" i="3"/>
  <c r="B9" i="3"/>
  <c r="E9" i="3"/>
  <c r="H9" i="3"/>
  <c r="K9" i="3"/>
  <c r="C9" i="3"/>
  <c r="J9" i="3"/>
  <c r="C4" i="3" l="1"/>
  <c r="C28" i="3" s="1"/>
  <c r="D4" i="3"/>
  <c r="D28" i="3" s="1"/>
  <c r="E4" i="3"/>
  <c r="F4" i="3"/>
  <c r="F28" i="3" s="1"/>
  <c r="G4" i="3"/>
  <c r="H4" i="3"/>
  <c r="H28" i="3" s="1"/>
  <c r="I4" i="3"/>
  <c r="I28" i="3" s="1"/>
  <c r="J4" i="3"/>
  <c r="K4" i="3"/>
  <c r="K28" i="3" s="1"/>
  <c r="B4" i="3"/>
  <c r="D29" i="3"/>
  <c r="E29" i="3"/>
  <c r="F29" i="3"/>
  <c r="G29" i="3"/>
  <c r="H29" i="3"/>
  <c r="I29" i="3"/>
  <c r="J29" i="3"/>
  <c r="K29" i="3"/>
  <c r="C29" i="3"/>
  <c r="C26" i="3"/>
  <c r="D26" i="3"/>
  <c r="E26" i="3"/>
  <c r="F26" i="3"/>
  <c r="G26" i="3"/>
  <c r="H26" i="3"/>
  <c r="I26" i="3"/>
  <c r="J26" i="3"/>
  <c r="K26" i="3"/>
  <c r="B26" i="3"/>
  <c r="K68" i="4"/>
  <c r="C68" i="4"/>
  <c r="D67" i="4"/>
  <c r="E66" i="4"/>
  <c r="F65" i="4"/>
  <c r="G64" i="4"/>
  <c r="H63" i="4"/>
  <c r="I62" i="4"/>
  <c r="J61" i="4"/>
  <c r="K60" i="4"/>
  <c r="C60" i="4"/>
  <c r="D59" i="4"/>
  <c r="E58" i="4"/>
  <c r="F54" i="4"/>
  <c r="G53" i="4"/>
  <c r="H52" i="4"/>
  <c r="I51" i="4"/>
  <c r="J49" i="4"/>
  <c r="K48" i="4"/>
  <c r="C48" i="4"/>
  <c r="D47" i="4"/>
  <c r="E46" i="4"/>
  <c r="F44" i="4"/>
  <c r="G43" i="4"/>
  <c r="H42" i="4"/>
  <c r="I40" i="4"/>
  <c r="J39" i="4"/>
  <c r="K38" i="4"/>
  <c r="C38" i="4"/>
  <c r="D37" i="4"/>
  <c r="E36" i="4"/>
  <c r="F35" i="4"/>
  <c r="G34" i="4"/>
  <c r="H33" i="4"/>
  <c r="I32" i="4"/>
  <c r="J31" i="4"/>
  <c r="K30" i="4"/>
  <c r="C30" i="4"/>
  <c r="I24" i="4"/>
  <c r="D21" i="4"/>
  <c r="K14" i="4"/>
  <c r="J7" i="4"/>
  <c r="J68" i="4"/>
  <c r="K67" i="4"/>
  <c r="C67" i="4"/>
  <c r="D66" i="4"/>
  <c r="E65" i="4"/>
  <c r="F64" i="4"/>
  <c r="G63" i="4"/>
  <c r="H62" i="4"/>
  <c r="I61" i="4"/>
  <c r="J60" i="4"/>
  <c r="K59" i="4"/>
  <c r="C59" i="4"/>
  <c r="D58" i="4"/>
  <c r="E54" i="4"/>
  <c r="F53" i="4"/>
  <c r="G52" i="4"/>
  <c r="H51" i="4"/>
  <c r="I49" i="4"/>
  <c r="J48" i="4"/>
  <c r="K47" i="4"/>
  <c r="C47" i="4"/>
  <c r="D46" i="4"/>
  <c r="E44" i="4"/>
  <c r="F43" i="4"/>
  <c r="G42" i="4"/>
  <c r="H40" i="4"/>
  <c r="I39" i="4"/>
  <c r="J38" i="4"/>
  <c r="K37" i="4"/>
  <c r="C37" i="4"/>
  <c r="D36" i="4"/>
  <c r="E35" i="4"/>
  <c r="F34" i="4"/>
  <c r="G33" i="4"/>
  <c r="H32" i="4"/>
  <c r="I31" i="4"/>
  <c r="J30" i="4"/>
  <c r="K29" i="4"/>
  <c r="C29" i="4"/>
  <c r="D28" i="4"/>
  <c r="E27" i="4"/>
  <c r="F26" i="4"/>
  <c r="G25" i="4"/>
  <c r="H24" i="4"/>
  <c r="I23" i="4"/>
  <c r="J22" i="4"/>
  <c r="K21" i="4"/>
  <c r="C21" i="4"/>
  <c r="D20" i="4"/>
  <c r="E19" i="4"/>
  <c r="F18" i="4"/>
  <c r="G17" i="4"/>
  <c r="H16" i="4"/>
  <c r="I15" i="4"/>
  <c r="J14" i="4"/>
  <c r="K13" i="4"/>
  <c r="C13" i="4"/>
  <c r="D12" i="4"/>
  <c r="E11" i="4"/>
  <c r="F10" i="4"/>
  <c r="G9" i="4"/>
  <c r="H8" i="4"/>
  <c r="I7" i="4"/>
  <c r="J6" i="4"/>
  <c r="C65" i="4"/>
  <c r="I59" i="4"/>
  <c r="C54" i="4"/>
  <c r="E52" i="4"/>
  <c r="H48" i="4"/>
  <c r="C44" i="4"/>
  <c r="F40" i="4"/>
  <c r="I37" i="4"/>
  <c r="C35" i="4"/>
  <c r="F32" i="4"/>
  <c r="H30" i="4"/>
  <c r="K27" i="4"/>
  <c r="E25" i="4"/>
  <c r="H22" i="4"/>
  <c r="K19" i="4"/>
  <c r="D18" i="4"/>
  <c r="G15" i="4"/>
  <c r="J12" i="4"/>
  <c r="D10" i="4"/>
  <c r="G7" i="4"/>
  <c r="D17" i="4"/>
  <c r="I12" i="4"/>
  <c r="D9" i="4"/>
  <c r="K15" i="4"/>
  <c r="H10" i="4"/>
  <c r="E28" i="4"/>
  <c r="C22" i="4"/>
  <c r="I16" i="4"/>
  <c r="H9" i="4"/>
  <c r="I68" i="4"/>
  <c r="J67" i="4"/>
  <c r="K66" i="4"/>
  <c r="C66" i="4"/>
  <c r="D65" i="4"/>
  <c r="E64" i="4"/>
  <c r="F63" i="4"/>
  <c r="G62" i="4"/>
  <c r="H61" i="4"/>
  <c r="I60" i="4"/>
  <c r="J59" i="4"/>
  <c r="K58" i="4"/>
  <c r="C58" i="4"/>
  <c r="D54" i="4"/>
  <c r="E53" i="4"/>
  <c r="F52" i="4"/>
  <c r="G51" i="4"/>
  <c r="H49" i="4"/>
  <c r="I48" i="4"/>
  <c r="J47" i="4"/>
  <c r="K46" i="4"/>
  <c r="C46" i="4"/>
  <c r="D44" i="4"/>
  <c r="E43" i="4"/>
  <c r="F42" i="4"/>
  <c r="G40" i="4"/>
  <c r="H39" i="4"/>
  <c r="I38" i="4"/>
  <c r="J37" i="4"/>
  <c r="K36" i="4"/>
  <c r="C36" i="4"/>
  <c r="D35" i="4"/>
  <c r="E34" i="4"/>
  <c r="F33" i="4"/>
  <c r="G32" i="4"/>
  <c r="H31" i="4"/>
  <c r="I30" i="4"/>
  <c r="J29" i="4"/>
  <c r="K28" i="4"/>
  <c r="C28" i="4"/>
  <c r="D27" i="4"/>
  <c r="E26" i="4"/>
  <c r="F25" i="4"/>
  <c r="G24" i="4"/>
  <c r="H23" i="4"/>
  <c r="I22" i="4"/>
  <c r="J21" i="4"/>
  <c r="K20" i="4"/>
  <c r="C20" i="4"/>
  <c r="D19" i="4"/>
  <c r="E18" i="4"/>
  <c r="F17" i="4"/>
  <c r="G16" i="4"/>
  <c r="H15" i="4"/>
  <c r="I14" i="4"/>
  <c r="J13" i="4"/>
  <c r="K12" i="4"/>
  <c r="C12" i="4"/>
  <c r="D11" i="4"/>
  <c r="E10" i="4"/>
  <c r="F9" i="4"/>
  <c r="G8" i="4"/>
  <c r="H7" i="4"/>
  <c r="I6" i="4"/>
  <c r="E63" i="4"/>
  <c r="K54" i="4"/>
  <c r="F51" i="4"/>
  <c r="I47" i="4"/>
  <c r="K44" i="4"/>
  <c r="E42" i="4"/>
  <c r="H38" i="4"/>
  <c r="K35" i="4"/>
  <c r="D34" i="4"/>
  <c r="G31" i="4"/>
  <c r="J28" i="4"/>
  <c r="D26" i="4"/>
  <c r="F24" i="4"/>
  <c r="I21" i="4"/>
  <c r="C19" i="4"/>
  <c r="F16" i="4"/>
  <c r="I13" i="4"/>
  <c r="C11" i="4"/>
  <c r="F8" i="4"/>
  <c r="H6" i="4"/>
  <c r="F15" i="4"/>
  <c r="K10" i="4"/>
  <c r="E8" i="4"/>
  <c r="E13" i="4"/>
  <c r="K7" i="4"/>
  <c r="G26" i="4"/>
  <c r="F19" i="4"/>
  <c r="E12" i="4"/>
  <c r="K6" i="4"/>
  <c r="H68" i="4"/>
  <c r="I67" i="4"/>
  <c r="J66" i="4"/>
  <c r="K65" i="4"/>
  <c r="D64" i="4"/>
  <c r="F62" i="4"/>
  <c r="G61" i="4"/>
  <c r="H60" i="4"/>
  <c r="J58" i="4"/>
  <c r="D53" i="4"/>
  <c r="G49" i="4"/>
  <c r="J46" i="4"/>
  <c r="D43" i="4"/>
  <c r="G39" i="4"/>
  <c r="J36" i="4"/>
  <c r="E33" i="4"/>
  <c r="I29" i="4"/>
  <c r="C27" i="4"/>
  <c r="G23" i="4"/>
  <c r="J20" i="4"/>
  <c r="E17" i="4"/>
  <c r="H14" i="4"/>
  <c r="K11" i="4"/>
  <c r="E9" i="4"/>
  <c r="C18" i="4"/>
  <c r="G14" i="4"/>
  <c r="J11" i="4"/>
  <c r="F7" i="4"/>
  <c r="F12" i="4"/>
  <c r="C7" i="4"/>
  <c r="J23" i="4"/>
  <c r="G18" i="4"/>
  <c r="C14" i="4"/>
  <c r="I8" i="4"/>
  <c r="G68" i="4"/>
  <c r="H67" i="4"/>
  <c r="I66" i="4"/>
  <c r="J65" i="4"/>
  <c r="K64" i="4"/>
  <c r="C64" i="4"/>
  <c r="D63" i="4"/>
  <c r="E62" i="4"/>
  <c r="F61" i="4"/>
  <c r="G60" i="4"/>
  <c r="H59" i="4"/>
  <c r="I58" i="4"/>
  <c r="J54" i="4"/>
  <c r="K53" i="4"/>
  <c r="C53" i="4"/>
  <c r="D52" i="4"/>
  <c r="E51" i="4"/>
  <c r="F49" i="4"/>
  <c r="G48" i="4"/>
  <c r="H47" i="4"/>
  <c r="I46" i="4"/>
  <c r="J44" i="4"/>
  <c r="K43" i="4"/>
  <c r="C43" i="4"/>
  <c r="D42" i="4"/>
  <c r="E40" i="4"/>
  <c r="F39" i="4"/>
  <c r="G38" i="4"/>
  <c r="H37" i="4"/>
  <c r="I36" i="4"/>
  <c r="J35" i="4"/>
  <c r="K34" i="4"/>
  <c r="C34" i="4"/>
  <c r="D33" i="4"/>
  <c r="E32" i="4"/>
  <c r="F31" i="4"/>
  <c r="G30" i="4"/>
  <c r="H29" i="4"/>
  <c r="I28" i="4"/>
  <c r="J27" i="4"/>
  <c r="K26" i="4"/>
  <c r="C26" i="4"/>
  <c r="D25" i="4"/>
  <c r="E24" i="4"/>
  <c r="F23" i="4"/>
  <c r="G22" i="4"/>
  <c r="H21" i="4"/>
  <c r="I20" i="4"/>
  <c r="J19" i="4"/>
  <c r="K18" i="4"/>
  <c r="E16" i="4"/>
  <c r="H13" i="4"/>
  <c r="C10" i="4"/>
  <c r="G6" i="4"/>
  <c r="J8" i="4"/>
  <c r="F27" i="4"/>
  <c r="E20" i="4"/>
  <c r="D13" i="4"/>
  <c r="F68" i="4"/>
  <c r="G67" i="4"/>
  <c r="H66" i="4"/>
  <c r="I65" i="4"/>
  <c r="J64" i="4"/>
  <c r="K63" i="4"/>
  <c r="C63" i="4"/>
  <c r="D62" i="4"/>
  <c r="E61" i="4"/>
  <c r="F60" i="4"/>
  <c r="G59" i="4"/>
  <c r="H58" i="4"/>
  <c r="I54" i="4"/>
  <c r="J53" i="4"/>
  <c r="K52" i="4"/>
  <c r="C52" i="4"/>
  <c r="D51" i="4"/>
  <c r="E49" i="4"/>
  <c r="F48" i="4"/>
  <c r="G47" i="4"/>
  <c r="H46" i="4"/>
  <c r="I44" i="4"/>
  <c r="J43" i="4"/>
  <c r="K42" i="4"/>
  <c r="C42" i="4"/>
  <c r="D40" i="4"/>
  <c r="E39" i="4"/>
  <c r="F38" i="4"/>
  <c r="G37" i="4"/>
  <c r="H36" i="4"/>
  <c r="I35" i="4"/>
  <c r="J34" i="4"/>
  <c r="K33" i="4"/>
  <c r="C33" i="4"/>
  <c r="D32" i="4"/>
  <c r="E31" i="4"/>
  <c r="F30" i="4"/>
  <c r="G29" i="4"/>
  <c r="H28" i="4"/>
  <c r="I27" i="4"/>
  <c r="J26" i="4"/>
  <c r="K25" i="4"/>
  <c r="C25" i="4"/>
  <c r="D24" i="4"/>
  <c r="E23" i="4"/>
  <c r="F22" i="4"/>
  <c r="G21" i="4"/>
  <c r="H20" i="4"/>
  <c r="I19" i="4"/>
  <c r="J18" i="4"/>
  <c r="K17" i="4"/>
  <c r="C17" i="4"/>
  <c r="D16" i="4"/>
  <c r="E15" i="4"/>
  <c r="F14" i="4"/>
  <c r="G13" i="4"/>
  <c r="H12" i="4"/>
  <c r="I11" i="4"/>
  <c r="J10" i="4"/>
  <c r="K9" i="4"/>
  <c r="C9" i="4"/>
  <c r="D8" i="4"/>
  <c r="E7" i="4"/>
  <c r="F6" i="4"/>
  <c r="E67" i="4"/>
  <c r="F66" i="4"/>
  <c r="G65" i="4"/>
  <c r="I63" i="4"/>
  <c r="K61" i="4"/>
  <c r="D60" i="4"/>
  <c r="F58" i="4"/>
  <c r="H53" i="4"/>
  <c r="J51" i="4"/>
  <c r="C49" i="4"/>
  <c r="E47" i="4"/>
  <c r="G44" i="4"/>
  <c r="I42" i="4"/>
  <c r="K39" i="4"/>
  <c r="D38" i="4"/>
  <c r="F36" i="4"/>
  <c r="H34" i="4"/>
  <c r="J32" i="4"/>
  <c r="K31" i="4"/>
  <c r="D30" i="4"/>
  <c r="F28" i="4"/>
  <c r="H26" i="4"/>
  <c r="K23" i="4"/>
  <c r="D22" i="4"/>
  <c r="F20" i="4"/>
  <c r="H18" i="4"/>
  <c r="J16" i="4"/>
  <c r="D14" i="4"/>
  <c r="I9" i="4"/>
  <c r="D29" i="4"/>
  <c r="K22" i="4"/>
  <c r="J15" i="4"/>
  <c r="G10" i="4"/>
  <c r="E68" i="4"/>
  <c r="F67" i="4"/>
  <c r="G66" i="4"/>
  <c r="H65" i="4"/>
  <c r="I64" i="4"/>
  <c r="J63" i="4"/>
  <c r="K62" i="4"/>
  <c r="C62" i="4"/>
  <c r="D61" i="4"/>
  <c r="E60" i="4"/>
  <c r="F59" i="4"/>
  <c r="G58" i="4"/>
  <c r="H54" i="4"/>
  <c r="I53" i="4"/>
  <c r="J52" i="4"/>
  <c r="K51" i="4"/>
  <c r="C51" i="4"/>
  <c r="D49" i="4"/>
  <c r="E48" i="4"/>
  <c r="F47" i="4"/>
  <c r="G46" i="4"/>
  <c r="H44" i="4"/>
  <c r="I43" i="4"/>
  <c r="J42" i="4"/>
  <c r="K40" i="4"/>
  <c r="C40" i="4"/>
  <c r="D39" i="4"/>
  <c r="E38" i="4"/>
  <c r="F37" i="4"/>
  <c r="G36" i="4"/>
  <c r="H35" i="4"/>
  <c r="I34" i="4"/>
  <c r="J33" i="4"/>
  <c r="K32" i="4"/>
  <c r="C32" i="4"/>
  <c r="D31" i="4"/>
  <c r="E30" i="4"/>
  <c r="F29" i="4"/>
  <c r="G28" i="4"/>
  <c r="H27" i="4"/>
  <c r="I26" i="4"/>
  <c r="J25" i="4"/>
  <c r="K24" i="4"/>
  <c r="C24" i="4"/>
  <c r="D23" i="4"/>
  <c r="E22" i="4"/>
  <c r="F21" i="4"/>
  <c r="G20" i="4"/>
  <c r="H19" i="4"/>
  <c r="I18" i="4"/>
  <c r="J17" i="4"/>
  <c r="K16" i="4"/>
  <c r="C16" i="4"/>
  <c r="D15" i="4"/>
  <c r="E14" i="4"/>
  <c r="F13" i="4"/>
  <c r="G12" i="4"/>
  <c r="H11" i="4"/>
  <c r="I10" i="4"/>
  <c r="J9" i="4"/>
  <c r="K8" i="4"/>
  <c r="C8" i="4"/>
  <c r="D7" i="4"/>
  <c r="E6" i="4"/>
  <c r="D68" i="4"/>
  <c r="H64" i="4"/>
  <c r="J62" i="4"/>
  <c r="C61" i="4"/>
  <c r="E59" i="4"/>
  <c r="G54" i="4"/>
  <c r="I52" i="4"/>
  <c r="K49" i="4"/>
  <c r="D48" i="4"/>
  <c r="F46" i="4"/>
  <c r="H43" i="4"/>
  <c r="J40" i="4"/>
  <c r="C39" i="4"/>
  <c r="E37" i="4"/>
  <c r="G35" i="4"/>
  <c r="I33" i="4"/>
  <c r="C31" i="4"/>
  <c r="E29" i="4"/>
  <c r="G27" i="4"/>
  <c r="I25" i="4"/>
  <c r="J24" i="4"/>
  <c r="C23" i="4"/>
  <c r="E21" i="4"/>
  <c r="G19" i="4"/>
  <c r="I17" i="4"/>
  <c r="C15" i="4"/>
  <c r="G11" i="4"/>
  <c r="D6" i="4"/>
  <c r="H25" i="4"/>
  <c r="H17" i="4"/>
  <c r="F11" i="4"/>
  <c r="C6" i="4"/>
  <c r="B7" i="3"/>
  <c r="C7" i="3"/>
  <c r="D7" i="3"/>
  <c r="E7" i="3"/>
  <c r="F7" i="3"/>
  <c r="G7" i="3"/>
  <c r="H7" i="3"/>
  <c r="I7" i="3"/>
  <c r="J7" i="3"/>
  <c r="K7" i="3"/>
  <c r="B8" i="3"/>
  <c r="C8" i="3"/>
  <c r="D8" i="3"/>
  <c r="E8" i="3"/>
  <c r="F8" i="3"/>
  <c r="G8" i="3"/>
  <c r="H8" i="3"/>
  <c r="I8" i="3"/>
  <c r="J8" i="3"/>
  <c r="K8" i="3"/>
  <c r="C6" i="3"/>
  <c r="D6" i="3"/>
  <c r="E6" i="3"/>
  <c r="F6" i="3"/>
  <c r="G6" i="3"/>
  <c r="H6" i="3"/>
  <c r="I6" i="3"/>
  <c r="J6" i="3"/>
  <c r="K6" i="3"/>
  <c r="B6" i="3"/>
  <c r="C5" i="3"/>
  <c r="D5" i="3"/>
  <c r="E5" i="3"/>
  <c r="F5" i="3"/>
  <c r="G5" i="3"/>
  <c r="H5" i="3"/>
  <c r="I5" i="3"/>
  <c r="J5" i="3"/>
  <c r="K5" i="3"/>
  <c r="B5" i="3"/>
  <c r="F25" i="2"/>
  <c r="I38" i="2"/>
  <c r="E16" i="2"/>
  <c r="J15" i="2"/>
  <c r="C29" i="2"/>
  <c r="E32" i="2"/>
  <c r="G39" i="2"/>
  <c r="G35" i="2"/>
  <c r="K47" i="2"/>
  <c r="D10" i="2"/>
  <c r="H16" i="2"/>
  <c r="F13" i="2"/>
  <c r="L22" i="2"/>
  <c r="D26" i="2"/>
  <c r="F29" i="2"/>
  <c r="C13" i="2"/>
  <c r="E40" i="2"/>
  <c r="H32" i="2"/>
  <c r="J35" i="2"/>
  <c r="I48" i="2"/>
  <c r="L34" i="2"/>
  <c r="I10" i="2"/>
  <c r="F9" i="2"/>
  <c r="C41" i="2"/>
  <c r="K29" i="2"/>
  <c r="L26" i="2"/>
  <c r="K41" i="2"/>
  <c r="E50" i="2"/>
  <c r="F33" i="2"/>
  <c r="I56" i="2"/>
  <c r="K59" i="2"/>
  <c r="C63" i="2"/>
  <c r="H28" i="2"/>
  <c r="C17" i="2"/>
  <c r="I14" i="2"/>
  <c r="I26" i="2"/>
  <c r="K17" i="2"/>
  <c r="J23" i="2"/>
  <c r="K33" i="2"/>
  <c r="E8" i="2"/>
  <c r="G27" i="2"/>
  <c r="J7" i="2"/>
  <c r="I44" i="2"/>
  <c r="G11" i="2"/>
  <c r="C51" i="2"/>
  <c r="J31" i="2"/>
  <c r="G57" i="2"/>
  <c r="L18" i="2"/>
  <c r="K25" i="2"/>
  <c r="I30" i="2"/>
  <c r="J27" i="2"/>
  <c r="K13" i="2"/>
  <c r="K63" i="2"/>
  <c r="K9" i="2"/>
  <c r="K55" i="2"/>
  <c r="F17" i="2"/>
  <c r="J11" i="2"/>
  <c r="L14" i="2"/>
  <c r="D18" i="2"/>
  <c r="G45" i="2"/>
  <c r="L10" i="2"/>
  <c r="L30" i="2"/>
  <c r="D34" i="2"/>
  <c r="I64" i="2"/>
  <c r="E58" i="2"/>
  <c r="G7" i="2"/>
  <c r="G53" i="2"/>
  <c r="C33" i="2"/>
  <c r="E62" i="2"/>
  <c r="D14" i="2"/>
  <c r="H8" i="2"/>
  <c r="C9" i="2"/>
  <c r="G15" i="2"/>
  <c r="I18" i="2"/>
  <c r="K21" i="2"/>
  <c r="E28" i="2"/>
  <c r="I34" i="2"/>
  <c r="C25" i="2"/>
  <c r="K37" i="2"/>
  <c r="I52" i="2"/>
  <c r="C67" i="2"/>
  <c r="G65" i="2"/>
  <c r="I72" i="2"/>
  <c r="E74" i="2"/>
  <c r="C71" i="2"/>
  <c r="H7" i="2"/>
  <c r="C59" i="2"/>
  <c r="K75" i="2"/>
  <c r="G77" i="2"/>
  <c r="I68" i="2"/>
  <c r="E9" i="2"/>
  <c r="I83" i="2"/>
  <c r="K10" i="2"/>
  <c r="E93" i="2"/>
  <c r="C79" i="2"/>
  <c r="G8" i="2"/>
  <c r="E85" i="2"/>
  <c r="I7" i="2"/>
  <c r="E89" i="2"/>
  <c r="C10" i="2"/>
  <c r="I87" i="2"/>
  <c r="C94" i="2"/>
  <c r="I11" i="2"/>
  <c r="K90" i="2"/>
  <c r="C14" i="2"/>
  <c r="E13" i="2"/>
  <c r="K14" i="2"/>
  <c r="I15" i="2"/>
  <c r="C18" i="2"/>
  <c r="G16" i="2"/>
  <c r="K18" i="2"/>
  <c r="E17" i="2"/>
  <c r="K22" i="2"/>
  <c r="I23" i="2"/>
  <c r="E25" i="2"/>
  <c r="C26" i="2"/>
  <c r="E29" i="2"/>
  <c r="E33" i="2"/>
  <c r="K26" i="2"/>
  <c r="G32" i="2"/>
  <c r="K30" i="2"/>
  <c r="I27" i="2"/>
  <c r="I31" i="2"/>
  <c r="C34" i="2"/>
  <c r="G28" i="2"/>
  <c r="K34" i="2"/>
  <c r="C38" i="2"/>
  <c r="I35" i="2"/>
  <c r="K38" i="2"/>
  <c r="I39" i="2"/>
  <c r="E41" i="2"/>
  <c r="G40" i="2"/>
  <c r="C44" i="2"/>
  <c r="K44" i="2"/>
  <c r="I45" i="2"/>
  <c r="K48" i="2"/>
  <c r="C48" i="2"/>
  <c r="I49" i="2"/>
  <c r="K52" i="2"/>
  <c r="E51" i="2"/>
  <c r="G58" i="2"/>
  <c r="C56" i="2"/>
  <c r="K56" i="2"/>
  <c r="I57" i="2"/>
  <c r="I53" i="2"/>
  <c r="C60" i="2"/>
  <c r="E59" i="2"/>
  <c r="G62" i="2"/>
  <c r="E63" i="2"/>
  <c r="K68" i="2"/>
  <c r="K64" i="2"/>
  <c r="I65" i="2"/>
  <c r="G66" i="2"/>
  <c r="C68" i="2"/>
  <c r="E67" i="2"/>
  <c r="I69" i="2"/>
  <c r="C64" i="2"/>
  <c r="G70" i="2"/>
  <c r="E71" i="2"/>
  <c r="K72" i="2"/>
  <c r="C72" i="2"/>
  <c r="I73" i="2"/>
  <c r="C76" i="2"/>
  <c r="G74" i="2"/>
  <c r="E75" i="2"/>
  <c r="K76" i="2"/>
  <c r="I77" i="2"/>
  <c r="K83" i="2"/>
  <c r="G78" i="2"/>
  <c r="E79" i="2"/>
  <c r="C83" i="2"/>
  <c r="I84" i="2"/>
  <c r="G85" i="2"/>
  <c r="E86" i="2"/>
  <c r="C87" i="2"/>
  <c r="K87" i="2"/>
  <c r="I88" i="2"/>
  <c r="G89" i="2"/>
  <c r="E90" i="2"/>
  <c r="K91" i="2"/>
  <c r="C91" i="2"/>
  <c r="I92" i="2"/>
  <c r="G93" i="2"/>
  <c r="E94" i="2"/>
  <c r="D44" i="2"/>
  <c r="L38" i="2"/>
  <c r="J77" i="2"/>
  <c r="J57" i="2"/>
  <c r="D83" i="2"/>
  <c r="L64" i="2"/>
  <c r="I8" i="2"/>
  <c r="L68" i="2"/>
  <c r="F75" i="2"/>
  <c r="D87" i="2"/>
  <c r="D72" i="2"/>
  <c r="J88" i="2"/>
  <c r="L91" i="2"/>
  <c r="C7" i="2"/>
  <c r="H93" i="2"/>
  <c r="E10" i="2"/>
  <c r="H85" i="2"/>
  <c r="I12" i="2"/>
  <c r="G13" i="2"/>
  <c r="K15" i="2"/>
  <c r="E14" i="2"/>
  <c r="C15" i="2"/>
  <c r="I16" i="2"/>
  <c r="E18" i="2"/>
  <c r="K19" i="2"/>
  <c r="G17" i="2"/>
  <c r="G25" i="2"/>
  <c r="I24" i="2"/>
  <c r="K23" i="2"/>
  <c r="I20" i="2"/>
  <c r="E26" i="2"/>
  <c r="I32" i="2"/>
  <c r="I28" i="2"/>
  <c r="G29" i="2"/>
  <c r="C27" i="2"/>
  <c r="K31" i="2"/>
  <c r="K39" i="2"/>
  <c r="G33" i="2"/>
  <c r="K27" i="2"/>
  <c r="K35" i="2"/>
  <c r="G41" i="2"/>
  <c r="E34" i="2"/>
  <c r="C39" i="2"/>
  <c r="E38" i="2"/>
  <c r="C35" i="2"/>
  <c r="I40" i="2"/>
  <c r="I36" i="2"/>
  <c r="I46" i="2"/>
  <c r="K45" i="2"/>
  <c r="E44" i="2"/>
  <c r="C45" i="2"/>
  <c r="E48" i="2"/>
  <c r="C49" i="2"/>
  <c r="K49" i="2"/>
  <c r="C53" i="2"/>
  <c r="K53" i="2"/>
  <c r="E56" i="2"/>
  <c r="I54" i="2"/>
  <c r="C57" i="2"/>
  <c r="K57" i="2"/>
  <c r="G63" i="2"/>
  <c r="C61" i="2"/>
  <c r="E60" i="2"/>
  <c r="C65" i="2"/>
  <c r="I58" i="2"/>
  <c r="I62" i="2"/>
  <c r="E64" i="2"/>
  <c r="I66" i="2"/>
  <c r="E68" i="2"/>
  <c r="K65" i="2"/>
  <c r="C69" i="2"/>
  <c r="G67" i="2"/>
  <c r="K69" i="2"/>
  <c r="I70" i="2"/>
  <c r="G71" i="2"/>
  <c r="E72" i="2"/>
  <c r="C73" i="2"/>
  <c r="I74" i="2"/>
  <c r="K73" i="2"/>
  <c r="K77" i="2"/>
  <c r="G75" i="2"/>
  <c r="E76" i="2"/>
  <c r="I78" i="2"/>
  <c r="G79" i="2"/>
  <c r="E83" i="2"/>
  <c r="C77" i="2"/>
  <c r="I85" i="2"/>
  <c r="C84" i="2"/>
  <c r="K84" i="2"/>
  <c r="G86" i="2"/>
  <c r="G90" i="2"/>
  <c r="C88" i="2"/>
  <c r="E87" i="2"/>
  <c r="K88" i="2"/>
  <c r="I89" i="2"/>
  <c r="C92" i="2"/>
  <c r="E91" i="2"/>
  <c r="G94" i="2"/>
  <c r="K92" i="2"/>
  <c r="I93" i="2"/>
  <c r="H40" i="2"/>
  <c r="D48" i="2"/>
  <c r="L44" i="2"/>
  <c r="J49" i="2"/>
  <c r="H58" i="2"/>
  <c r="L52" i="2"/>
  <c r="L60" i="2"/>
  <c r="F79" i="2"/>
  <c r="J69" i="2"/>
  <c r="D64" i="2"/>
  <c r="F67" i="2"/>
  <c r="J92" i="2"/>
  <c r="F86" i="2"/>
  <c r="L83" i="2"/>
  <c r="L87" i="2"/>
  <c r="H89" i="2"/>
  <c r="D76" i="2"/>
  <c r="F94" i="2"/>
  <c r="G9" i="2"/>
  <c r="L72" i="2"/>
  <c r="K7" i="2"/>
  <c r="D7" i="2"/>
  <c r="K11" i="2"/>
  <c r="J12" i="2"/>
  <c r="H9" i="2"/>
  <c r="J8" i="2"/>
  <c r="L19" i="2"/>
  <c r="L11" i="2"/>
  <c r="L7" i="2"/>
  <c r="H13" i="2"/>
  <c r="F14" i="2"/>
  <c r="F10" i="2"/>
  <c r="L15" i="2"/>
  <c r="J16" i="2"/>
  <c r="F18" i="2"/>
  <c r="H25" i="2"/>
  <c r="D15" i="2"/>
  <c r="H17" i="2"/>
  <c r="L23" i="2"/>
  <c r="J20" i="2"/>
  <c r="J24" i="2"/>
  <c r="F26" i="2"/>
  <c r="D27" i="2"/>
  <c r="H29" i="2"/>
  <c r="H33" i="2"/>
  <c r="L27" i="2"/>
  <c r="L31" i="2"/>
  <c r="J32" i="2"/>
  <c r="J28" i="2"/>
  <c r="F34" i="2"/>
  <c r="D35" i="2"/>
  <c r="L35" i="2"/>
  <c r="J36" i="2"/>
  <c r="D39" i="2"/>
  <c r="L39" i="2"/>
  <c r="H41" i="2"/>
  <c r="F44" i="2"/>
  <c r="J40" i="2"/>
  <c r="D45" i="2"/>
  <c r="L45" i="2"/>
  <c r="J46" i="2"/>
  <c r="D49" i="2"/>
  <c r="F48" i="2"/>
  <c r="L49" i="2"/>
  <c r="L57" i="2"/>
  <c r="F56" i="2"/>
  <c r="L53" i="2"/>
  <c r="D57" i="2"/>
  <c r="J54" i="2"/>
  <c r="D53" i="2"/>
  <c r="J58" i="2"/>
  <c r="D61" i="2"/>
  <c r="L61" i="2"/>
  <c r="J62" i="2"/>
  <c r="F64" i="2"/>
  <c r="H63" i="2"/>
  <c r="D65" i="2"/>
  <c r="J70" i="2"/>
  <c r="H67" i="2"/>
  <c r="J66" i="2"/>
  <c r="F68" i="2"/>
  <c r="D69" i="2"/>
  <c r="L69" i="2"/>
  <c r="H71" i="2"/>
  <c r="F72" i="2"/>
  <c r="L65" i="2"/>
  <c r="D73" i="2"/>
  <c r="F76" i="2"/>
  <c r="L73" i="2"/>
  <c r="J74" i="2"/>
  <c r="F83" i="2"/>
  <c r="D77" i="2"/>
  <c r="J78" i="2"/>
  <c r="L77" i="2"/>
  <c r="H79" i="2"/>
  <c r="H75" i="2"/>
  <c r="D84" i="2"/>
  <c r="H86" i="2"/>
  <c r="J85" i="2"/>
  <c r="L84" i="2"/>
  <c r="F87" i="2"/>
  <c r="D88" i="2"/>
  <c r="L88" i="2"/>
  <c r="J89" i="2"/>
  <c r="H90" i="2"/>
  <c r="F91" i="2"/>
  <c r="J93" i="2"/>
  <c r="D92" i="2"/>
  <c r="L56" i="2"/>
  <c r="L92" i="2"/>
  <c r="F63" i="2"/>
  <c r="D38" i="2"/>
  <c r="J53" i="2"/>
  <c r="H94" i="2"/>
  <c r="F41" i="2"/>
  <c r="D60" i="2"/>
  <c r="H66" i="2"/>
  <c r="F71" i="2"/>
  <c r="H74" i="2"/>
  <c r="H78" i="2"/>
  <c r="J84" i="2"/>
  <c r="D91" i="2"/>
  <c r="C8" i="2"/>
  <c r="E11" i="2"/>
  <c r="I9" i="2"/>
  <c r="K12" i="2"/>
  <c r="I17" i="2"/>
  <c r="G14" i="2"/>
  <c r="C16" i="2"/>
  <c r="K20" i="2"/>
  <c r="I21" i="2"/>
  <c r="E27" i="2"/>
  <c r="K24" i="2"/>
  <c r="G26" i="2"/>
  <c r="I25" i="2"/>
  <c r="C28" i="2"/>
  <c r="I29" i="2"/>
  <c r="K28" i="2"/>
  <c r="K32" i="2"/>
  <c r="C32" i="2"/>
  <c r="E39" i="2"/>
  <c r="E35" i="2"/>
  <c r="I33" i="2"/>
  <c r="I37" i="2"/>
  <c r="K36" i="2"/>
  <c r="G34" i="2"/>
  <c r="K40" i="2"/>
  <c r="C40" i="2"/>
  <c r="G44" i="2"/>
  <c r="I41" i="2"/>
  <c r="E45" i="2"/>
  <c r="I47" i="2"/>
  <c r="K46" i="2"/>
  <c r="C50" i="2"/>
  <c r="E49" i="2"/>
  <c r="G48" i="2"/>
  <c r="E53" i="2"/>
  <c r="I55" i="2"/>
  <c r="K54" i="2"/>
  <c r="G56" i="2"/>
  <c r="E57" i="2"/>
  <c r="C58" i="2"/>
  <c r="I59" i="2"/>
  <c r="K58" i="2"/>
  <c r="K66" i="2"/>
  <c r="E61" i="2"/>
  <c r="K62" i="2"/>
  <c r="I63" i="2"/>
  <c r="G64" i="2"/>
  <c r="E65" i="2"/>
  <c r="C62" i="2"/>
  <c r="C66" i="2"/>
  <c r="I67" i="2"/>
  <c r="E69" i="2"/>
  <c r="G68" i="2"/>
  <c r="C70" i="2"/>
  <c r="K70" i="2"/>
  <c r="I71" i="2"/>
  <c r="G72" i="2"/>
  <c r="E73" i="2"/>
  <c r="I75" i="2"/>
  <c r="K74" i="2"/>
  <c r="C74" i="2"/>
  <c r="E77" i="2"/>
  <c r="G76" i="2"/>
  <c r="K78" i="2"/>
  <c r="I79" i="2"/>
  <c r="C78" i="2"/>
  <c r="G83" i="2"/>
  <c r="E84" i="2"/>
  <c r="K85" i="2"/>
  <c r="I86" i="2"/>
  <c r="G87" i="2"/>
  <c r="C85" i="2"/>
  <c r="E88" i="2"/>
  <c r="C89" i="2"/>
  <c r="K89" i="2"/>
  <c r="E92" i="2"/>
  <c r="I90" i="2"/>
  <c r="G91" i="2"/>
  <c r="C93" i="2"/>
  <c r="K93" i="2"/>
  <c r="J39" i="2"/>
  <c r="I94" i="2"/>
  <c r="J45" i="2"/>
  <c r="L48" i="2"/>
  <c r="D56" i="2"/>
  <c r="H62" i="2"/>
  <c r="H70" i="2"/>
  <c r="J65" i="2"/>
  <c r="D68" i="2"/>
  <c r="J73" i="2"/>
  <c r="E7" i="2"/>
  <c r="K8" i="2"/>
  <c r="L76" i="2"/>
  <c r="G10" i="2"/>
  <c r="E15" i="2"/>
  <c r="F90" i="2"/>
  <c r="G18" i="2"/>
  <c r="I13" i="2"/>
  <c r="K16" i="2"/>
  <c r="F7" i="2"/>
  <c r="D8" i="2"/>
  <c r="L8" i="2"/>
  <c r="H10" i="2"/>
  <c r="F11" i="2"/>
  <c r="J9" i="2"/>
  <c r="L12" i="2"/>
  <c r="H14" i="2"/>
  <c r="J13" i="2"/>
  <c r="F15" i="2"/>
  <c r="D16" i="2"/>
  <c r="L16" i="2"/>
  <c r="H18" i="2"/>
  <c r="J17" i="2"/>
  <c r="L20" i="2"/>
  <c r="L24" i="2"/>
  <c r="J25" i="2"/>
  <c r="J21" i="2"/>
  <c r="D28" i="2"/>
  <c r="F27" i="2"/>
  <c r="J29" i="2"/>
  <c r="L28" i="2"/>
  <c r="H26" i="2"/>
  <c r="D32" i="2"/>
  <c r="L32" i="2"/>
  <c r="J33" i="2"/>
  <c r="H34" i="2"/>
  <c r="F35" i="2"/>
  <c r="L36" i="2"/>
  <c r="J37" i="2"/>
  <c r="F45" i="2"/>
  <c r="J47" i="2"/>
  <c r="D40" i="2"/>
  <c r="F39" i="2"/>
  <c r="J41" i="2"/>
  <c r="H44" i="2"/>
  <c r="L46" i="2"/>
  <c r="L40" i="2"/>
  <c r="H48" i="2"/>
  <c r="D50" i="2"/>
  <c r="L50" i="2"/>
  <c r="F53" i="2"/>
  <c r="H56" i="2"/>
  <c r="L54" i="2"/>
  <c r="J55" i="2"/>
  <c r="F57" i="2"/>
  <c r="D58" i="2"/>
  <c r="L58" i="2"/>
  <c r="J59" i="2"/>
  <c r="D62" i="2"/>
  <c r="L62" i="2"/>
  <c r="H64" i="2"/>
  <c r="F65" i="2"/>
  <c r="J63" i="2"/>
  <c r="D66" i="2"/>
  <c r="L66" i="2"/>
  <c r="J67" i="2"/>
  <c r="F69" i="2"/>
  <c r="H68" i="2"/>
  <c r="L70" i="2"/>
  <c r="D70" i="2"/>
  <c r="H72" i="2"/>
  <c r="J71" i="2"/>
  <c r="F73" i="2"/>
  <c r="D74" i="2"/>
  <c r="L74" i="2"/>
  <c r="J75" i="2"/>
  <c r="H76" i="2"/>
  <c r="D78" i="2"/>
  <c r="L78" i="2"/>
  <c r="H83" i="2"/>
  <c r="F84" i="2"/>
  <c r="J79" i="2"/>
  <c r="D85" i="2"/>
  <c r="J90" i="2"/>
  <c r="H87" i="2"/>
  <c r="F77" i="2"/>
  <c r="J86" i="2"/>
  <c r="F88" i="2"/>
  <c r="D89" i="2"/>
  <c r="L89" i="2"/>
  <c r="L85" i="2"/>
  <c r="H91" i="2"/>
  <c r="F92" i="2"/>
  <c r="E70" i="2"/>
  <c r="J94" i="2"/>
  <c r="L93" i="2"/>
  <c r="I76" i="2"/>
  <c r="E66" i="2"/>
  <c r="G69" i="2"/>
  <c r="D93" i="2"/>
  <c r="K71" i="2"/>
  <c r="C75" i="2"/>
  <c r="G73" i="2"/>
  <c r="K67" i="2"/>
  <c r="E78" i="2"/>
  <c r="K79" i="2"/>
  <c r="G92" i="2"/>
  <c r="C86" i="2"/>
  <c r="K86" i="2"/>
  <c r="G88" i="2"/>
  <c r="I91" i="2"/>
  <c r="C90" i="2"/>
  <c r="G84" i="2"/>
  <c r="K94" i="2"/>
  <c r="L9" i="2"/>
  <c r="J10" i="2"/>
  <c r="F8" i="2"/>
  <c r="D9" i="2"/>
  <c r="H11" i="2"/>
  <c r="L13" i="2"/>
  <c r="D13" i="2"/>
  <c r="J14" i="2"/>
  <c r="D17" i="2"/>
  <c r="F16" i="2"/>
  <c r="L17" i="2"/>
  <c r="J18" i="2"/>
  <c r="H15" i="2"/>
  <c r="L21" i="2"/>
  <c r="L25" i="2"/>
  <c r="J34" i="2"/>
  <c r="J26" i="2"/>
  <c r="F28" i="2"/>
  <c r="D29" i="2"/>
  <c r="D25" i="2"/>
  <c r="J30" i="2"/>
  <c r="F32" i="2"/>
  <c r="D33" i="2"/>
  <c r="L33" i="2"/>
  <c r="L29" i="2"/>
  <c r="H35" i="2"/>
  <c r="H27" i="2"/>
  <c r="L37" i="2"/>
  <c r="J38" i="2"/>
  <c r="D41" i="2"/>
  <c r="F40" i="2"/>
  <c r="J44" i="2"/>
  <c r="J48" i="2"/>
  <c r="L47" i="2"/>
  <c r="L41" i="2"/>
  <c r="H45" i="2"/>
  <c r="D51" i="2"/>
  <c r="J52" i="2"/>
  <c r="F58" i="2"/>
  <c r="L55" i="2"/>
  <c r="J56" i="2"/>
  <c r="H57" i="2"/>
  <c r="H53" i="2"/>
  <c r="D59" i="2"/>
  <c r="L59" i="2"/>
  <c r="F62" i="2"/>
  <c r="D63" i="2"/>
  <c r="J68" i="2"/>
  <c r="F66" i="2"/>
  <c r="J64" i="2"/>
  <c r="H65" i="2"/>
  <c r="D67" i="2"/>
  <c r="L63" i="2"/>
  <c r="F70" i="2"/>
  <c r="D71" i="2"/>
  <c r="L67" i="2"/>
  <c r="J72" i="2"/>
  <c r="H69" i="2"/>
  <c r="F85" i="2"/>
  <c r="L71" i="2"/>
  <c r="F74" i="2"/>
  <c r="H73" i="2"/>
  <c r="J76" i="2"/>
  <c r="J87" i="2"/>
  <c r="D75" i="2"/>
  <c r="H84" i="2"/>
  <c r="L86" i="2"/>
  <c r="D79" i="2"/>
  <c r="H77" i="2"/>
  <c r="D86" i="2"/>
  <c r="L90" i="2"/>
  <c r="D90" i="2"/>
  <c r="H88" i="2"/>
  <c r="F89" i="2"/>
  <c r="L79" i="2"/>
  <c r="J91" i="2"/>
  <c r="L94" i="2"/>
  <c r="D94" i="2"/>
  <c r="J83" i="2"/>
  <c r="H92" i="2"/>
  <c r="F78" i="2"/>
  <c r="L75" i="2"/>
  <c r="F93" i="2"/>
  <c r="H10" i="3" l="1"/>
  <c r="J10" i="3"/>
  <c r="I10" i="3"/>
  <c r="E10" i="3"/>
  <c r="D10" i="3"/>
  <c r="H11" i="3"/>
  <c r="B10" i="3"/>
  <c r="G10" i="3"/>
  <c r="K10" i="3"/>
  <c r="C10" i="3"/>
  <c r="F10" i="3"/>
  <c r="G28" i="3"/>
  <c r="J28" i="3"/>
  <c r="E28" i="3"/>
  <c r="C16" i="3" l="1"/>
  <c r="F16" i="3"/>
  <c r="D11" i="3"/>
  <c r="D16" i="3"/>
  <c r="E11" i="3"/>
  <c r="E16" i="3"/>
  <c r="K16" i="3"/>
  <c r="I11" i="3"/>
  <c r="I16" i="3"/>
  <c r="G16" i="3"/>
  <c r="J16" i="3"/>
  <c r="B16" i="3"/>
  <c r="H16" i="3"/>
  <c r="J11" i="3"/>
  <c r="K11" i="3"/>
  <c r="C11" i="3"/>
  <c r="G11" i="3"/>
  <c r="B11" i="3"/>
  <c r="F11" i="3"/>
  <c r="H14" i="3" l="1"/>
  <c r="H15" i="3" s="1"/>
  <c r="H13" i="3"/>
  <c r="B15" i="3"/>
  <c r="B13" i="3"/>
  <c r="J14" i="3"/>
  <c r="J15" i="3" s="1"/>
  <c r="J13" i="3"/>
  <c r="D14" i="3"/>
  <c r="D15" i="3" s="1"/>
  <c r="D13" i="3"/>
  <c r="F14" i="3"/>
  <c r="F15" i="3" s="1"/>
  <c r="F13" i="3"/>
  <c r="I14" i="3"/>
  <c r="I15" i="3" s="1"/>
  <c r="I13" i="3"/>
  <c r="K14" i="3"/>
  <c r="K15" i="3" s="1"/>
  <c r="K13" i="3"/>
  <c r="C14" i="3"/>
  <c r="C15" i="3" s="1"/>
  <c r="C13" i="3"/>
  <c r="G14" i="3"/>
  <c r="G15" i="3" s="1"/>
  <c r="G13" i="3"/>
  <c r="E13" i="3"/>
  <c r="E14" i="3"/>
  <c r="E15" i="3" s="1"/>
  <c r="K40" i="3"/>
  <c r="K39" i="3"/>
</calcChain>
</file>

<file path=xl/sharedStrings.xml><?xml version="1.0" encoding="utf-8"?>
<sst xmlns="http://schemas.openxmlformats.org/spreadsheetml/2006/main" count="417" uniqueCount="357">
  <si>
    <t>Gévelot SA (ALGEV FP) - Standardisé</t>
  </si>
  <si>
    <t>En millions de EUR sauf Par action</t>
  </si>
  <si>
    <t>FY 2010</t>
  </si>
  <si>
    <t>FY 2011</t>
  </si>
  <si>
    <t>FY 2012</t>
  </si>
  <si>
    <t>FY 2013</t>
  </si>
  <si>
    <t>FY 2014</t>
  </si>
  <si>
    <t>FY 2015</t>
  </si>
  <si>
    <t>FY 2016</t>
  </si>
  <si>
    <t>FY 2017</t>
  </si>
  <si>
    <t>FY 2018</t>
  </si>
  <si>
    <t>FY 2019</t>
  </si>
  <si>
    <t>12 mois se terminant</t>
  </si>
  <si>
    <t>12/31/2010</t>
  </si>
  <si>
    <t>12/31/2011</t>
  </si>
  <si>
    <t>12/31/2012</t>
  </si>
  <si>
    <t>12/31/2013</t>
  </si>
  <si>
    <t>12/31/2014</t>
  </si>
  <si>
    <t>12/31/2015</t>
  </si>
  <si>
    <t>12/31/2016</t>
  </si>
  <si>
    <t>12/31/2017</t>
  </si>
  <si>
    <t>12/31/2018</t>
  </si>
  <si>
    <t>12/31/2019</t>
  </si>
  <si>
    <t>Actif total</t>
  </si>
  <si>
    <t xml:space="preserve">  + Cash et équivalents et investissement court terme</t>
  </si>
  <si>
    <t>C&amp;CE_AND_STI_DETAILED</t>
  </si>
  <si>
    <t xml:space="preserve">    + Cash et équivalents</t>
  </si>
  <si>
    <t>BS_CASH_NEAR_CASH_ITEM</t>
  </si>
  <si>
    <t xml:space="preserve">    + Investissements CT</t>
  </si>
  <si>
    <t>BS_MKT_SEC_OTHER_ST_INVEST</t>
  </si>
  <si>
    <t xml:space="preserve">  + Comptes clients et effets à recev</t>
  </si>
  <si>
    <t>BS_ACCT_NOTE_RCV</t>
  </si>
  <si>
    <t xml:space="preserve">    + Comptes clients - Net</t>
  </si>
  <si>
    <t>BS_ACCTS_REC_EXCL_NOTES_REC</t>
  </si>
  <si>
    <t xml:space="preserve">    + Effets à recevoir, nets</t>
  </si>
  <si>
    <t>NOTES_RECEIVABLE</t>
  </si>
  <si>
    <t xml:space="preserve">  + Stocks</t>
  </si>
  <si>
    <t>BS_INVENTORIES</t>
  </si>
  <si>
    <t xml:space="preserve">    + Matériaux de base</t>
  </si>
  <si>
    <t>INVTRY_RAW_MATERIALS</t>
  </si>
  <si>
    <t xml:space="preserve">    + Travail en cours</t>
  </si>
  <si>
    <t>INVTRY_IN_PROGRESS</t>
  </si>
  <si>
    <t xml:space="preserve">    + Produits finis</t>
  </si>
  <si>
    <t>INVTRY_FINISHED_GOODS</t>
  </si>
  <si>
    <t xml:space="preserve">    + Autres stocks</t>
  </si>
  <si>
    <t>BS_OTHER_INV</t>
  </si>
  <si>
    <t xml:space="preserve">  + Autres actifs CT</t>
  </si>
  <si>
    <t>OTHER_CURRENT_ASSETS_DETAILED</t>
  </si>
  <si>
    <t xml:space="preserve">    + Charges payées d'avance</t>
  </si>
  <si>
    <t>BS_PREPAY</t>
  </si>
  <si>
    <t xml:space="preserve">    + Actifs de dérivés et couverture</t>
  </si>
  <si>
    <t>BS_DERIV_&amp;_HEDGING_ASSETS_ST</t>
  </si>
  <si>
    <t xml:space="preserve">    + Actifs détenus pour la vente</t>
  </si>
  <si>
    <t>BS_ASSETS_HELD_FOR_SALE_ST</t>
  </si>
  <si>
    <t xml:space="preserve">    + Actifs fiscaux différés</t>
  </si>
  <si>
    <t>BS_DEFERRED_TAX_ASSETS_ST</t>
  </si>
  <si>
    <t xml:space="preserve">    + Impôts à recevoir</t>
  </si>
  <si>
    <t>BS_TAXES_RECEIVABLE_SHORT_TERM</t>
  </si>
  <si>
    <t xml:space="preserve">    + Divers actifs CT</t>
  </si>
  <si>
    <t>BS_OTHER_CUR_ASSET_LESS_PREPAY</t>
  </si>
  <si>
    <t>Total des actifs court terme</t>
  </si>
  <si>
    <t>BS_CUR_ASSET_REPORT</t>
  </si>
  <si>
    <t xml:space="preserve">  + Propriétés, usines et équipements - Net</t>
  </si>
  <si>
    <t>BS_NET_FIX_ASSET</t>
  </si>
  <si>
    <t xml:space="preserve">    + Pptés, usines et équipmt</t>
  </si>
  <si>
    <t>BS_GROSS_FIX_ASSET</t>
  </si>
  <si>
    <t xml:space="preserve">    - Amortissements cumulés</t>
  </si>
  <si>
    <t>BS_ACCUM_DEPR</t>
  </si>
  <si>
    <t xml:space="preserve">  + Investissements et comptes clients LT</t>
  </si>
  <si>
    <t>BS_LT_INVEST</t>
  </si>
  <si>
    <t xml:space="preserve">    + Investissements LT</t>
  </si>
  <si>
    <t>BS_LONG_TERM_INVESTMENTS</t>
  </si>
  <si>
    <t xml:space="preserve">    + Comptes clients LT</t>
  </si>
  <si>
    <t>BS_LT_RECEIVABLES</t>
  </si>
  <si>
    <t xml:space="preserve">  + Autres actifs LT</t>
  </si>
  <si>
    <t>BS_OTHER_ASSETS_DEF_CHRG_OTHER</t>
  </si>
  <si>
    <t xml:space="preserve">    + Total des actifs incorporels</t>
  </si>
  <si>
    <t>BS_DISCLOSED_INTANGIBLES</t>
  </si>
  <si>
    <t xml:space="preserve">    + Goodwill</t>
  </si>
  <si>
    <t>BS_GOODWILL</t>
  </si>
  <si>
    <t xml:space="preserve">    + Autres immobilisations incorporelles</t>
  </si>
  <si>
    <t>OTHER_INTANGIBLE_ASSETS_DETAILED</t>
  </si>
  <si>
    <t>BS_DEFERRED_TAX_ASSETS_LT</t>
  </si>
  <si>
    <t>BS_DERIV_&amp;_HEDGING_ASSETS_LT</t>
  </si>
  <si>
    <t xml:space="preserve">    + Investissements dans sociétés affiliées</t>
  </si>
  <si>
    <t>BS_INVEST_IN_ASSOC_CO</t>
  </si>
  <si>
    <t xml:space="preserve">    + Divers actifs LT</t>
  </si>
  <si>
    <t>OTHER_NONCURRENT_ASSETS_DETAILED</t>
  </si>
  <si>
    <t>Actifs à long terme (total)</t>
  </si>
  <si>
    <t>BS_TOT_NON_CUR_ASSET</t>
  </si>
  <si>
    <t>Total des actifs</t>
  </si>
  <si>
    <t>BS_TOT_ASSET</t>
  </si>
  <si>
    <t>Passif (dettes+fonds propres)</t>
  </si>
  <si>
    <t xml:space="preserve">  + Comptes fourniss et charges à payer</t>
  </si>
  <si>
    <t>ACCT_PAYABLE_&amp;_ACCRUALS_DETAILED</t>
  </si>
  <si>
    <t xml:space="preserve">    + Comptes fournisseurs</t>
  </si>
  <si>
    <t>BS_ACCT_PAYABLE</t>
  </si>
  <si>
    <t xml:space="preserve">    + Impôts accumulés</t>
  </si>
  <si>
    <t>BS_TAXES_PAYABLE</t>
  </si>
  <si>
    <t xml:space="preserve">    + Autres créances à payer et courus</t>
  </si>
  <si>
    <t>BS_ACCRUAL</t>
  </si>
  <si>
    <t xml:space="preserve">  + Dette CT</t>
  </si>
  <si>
    <t>BS_ST_BORROW</t>
  </si>
  <si>
    <t xml:space="preserve">    + Emprunts CT</t>
  </si>
  <si>
    <t>SHORT_TERM_DEBT_DETAILED</t>
  </si>
  <si>
    <t xml:space="preserve">    + ST Lease Liabilities</t>
  </si>
  <si>
    <t>ST_CAPITALIZED_LEASE_LIABILITIES</t>
  </si>
  <si>
    <t xml:space="preserve">      + Leasing financier CT</t>
  </si>
  <si>
    <t>ST_CAPITAL_LEASE_OBLIGATIONS</t>
  </si>
  <si>
    <t xml:space="preserve">    + Part actuelle de la dette LT</t>
  </si>
  <si>
    <t>BS_CURR_PORTION_LT_DEBT</t>
  </si>
  <si>
    <t xml:space="preserve">  + Autres dettes CT</t>
  </si>
  <si>
    <t>OTHER_CURRENT_LIABS_SUB_DETAILED</t>
  </si>
  <si>
    <t xml:space="preserve">    + Revenus différés</t>
  </si>
  <si>
    <t>ST_DEFERRED_REVENUE</t>
  </si>
  <si>
    <t xml:space="preserve">    + Dérivés et couverture</t>
  </si>
  <si>
    <t>BS_DERIVATIVE_&amp;_HEDGING_LIABS_ST</t>
  </si>
  <si>
    <t xml:space="preserve">    + Dettes diverses CT</t>
  </si>
  <si>
    <t>OTHER_CURRENT_LIABS_DETAILED</t>
  </si>
  <si>
    <t>Total des dettes court terme</t>
  </si>
  <si>
    <t>BS_CUR_LIAB</t>
  </si>
  <si>
    <t xml:space="preserve">  + Dette LT</t>
  </si>
  <si>
    <t>BS_LT_BORROW</t>
  </si>
  <si>
    <t xml:space="preserve">    + Emprunts LT</t>
  </si>
  <si>
    <t>LONG_TERM_BORROWINGS_DETAILED</t>
  </si>
  <si>
    <t xml:space="preserve">    + LT Lease Liabilities</t>
  </si>
  <si>
    <t>LT_CAPITALIZED_LEASE_LIABILITIES</t>
  </si>
  <si>
    <t xml:space="preserve">    + Leasing financier LT</t>
  </si>
  <si>
    <t>LT_CAPITAL_LEASE_OBLIGATIONS</t>
  </si>
  <si>
    <t xml:space="preserve">  + Autres passifs LT</t>
  </si>
  <si>
    <t>OTHER_NONCUR_LIABS_SUB_DETAILED</t>
  </si>
  <si>
    <t xml:space="preserve">    + Dettes courues</t>
  </si>
  <si>
    <t>BS_ACCRUED_LIABILITIES</t>
  </si>
  <si>
    <t xml:space="preserve">    + Passif de retraites</t>
  </si>
  <si>
    <t>PENSION_LIABILITIES</t>
  </si>
  <si>
    <t>LT_DEFERRED_REVENUE</t>
  </si>
  <si>
    <t xml:space="preserve">    + Passifs d'impôts différés</t>
  </si>
  <si>
    <t>BS_DEFERRED_TAX_LIABILITIES_LT</t>
  </si>
  <si>
    <t>BS_DERIVATIVE_&amp;_HEDGING_LIABS_LT</t>
  </si>
  <si>
    <t xml:space="preserve">    + Dettes diverses LT</t>
  </si>
  <si>
    <t>OTHER_NONCURRENT_LIABS_DETAILED</t>
  </si>
  <si>
    <t>Passif à long terme total</t>
  </si>
  <si>
    <t>NON_CUR_LIAB</t>
  </si>
  <si>
    <t>Total des dettes</t>
  </si>
  <si>
    <t>BS_TOT_LIAB2</t>
  </si>
  <si>
    <t xml:space="preserve">  + Actions Preferred et capital hybride</t>
  </si>
  <si>
    <t>BS_PFD_EQTY_&amp;_HYBRID_CPTL</t>
  </si>
  <si>
    <t xml:space="preserve">  + Capital social et APIC</t>
  </si>
  <si>
    <t>BS_SH_CAP_AND_APIC</t>
  </si>
  <si>
    <t xml:space="preserve">  - Actions propres</t>
  </si>
  <si>
    <t>BS_AMT_OF_TSY_STOCK</t>
  </si>
  <si>
    <t xml:space="preserve">  + Bénéfices non distribués</t>
  </si>
  <si>
    <t>BS_PURE_RETAINED_EARNINGS</t>
  </si>
  <si>
    <t xml:space="preserve">  + Autres valeurs</t>
  </si>
  <si>
    <t>OTHER_EQUITY_RATIO</t>
  </si>
  <si>
    <t>Capitaux propres avant intérêts minoritaires</t>
  </si>
  <si>
    <t>EQTY_BEF_MINORITY_INT_DETAILED</t>
  </si>
  <si>
    <t xml:space="preserve">  + Intérêts minoritaires/sans contrôle</t>
  </si>
  <si>
    <t>MINORITY_NONCONTROLLING_INTEREST</t>
  </si>
  <si>
    <t>Total Equity</t>
  </si>
  <si>
    <t>TOTAL_EQUITY</t>
  </si>
  <si>
    <t>Total du passif</t>
  </si>
  <si>
    <t>TOT_LIAB_AND_EQY</t>
  </si>
  <si>
    <t>Postes de référence</t>
  </si>
  <si>
    <t>Norme comptable</t>
  </si>
  <si>
    <t>ACCOUNTING_STANDARD</t>
  </si>
  <si>
    <t>IAS/IFRS</t>
  </si>
  <si>
    <t>Actions en circulation</t>
  </si>
  <si>
    <t>BS_SH_OUT</t>
  </si>
  <si>
    <t>Nombre d'actions en propre</t>
  </si>
  <si>
    <t>BS_NUM_OF_TSY_SH</t>
  </si>
  <si>
    <t>Obligations retraite</t>
  </si>
  <si>
    <t>BS_PENSION_RSRV</t>
  </si>
  <si>
    <t>Obligations minimum futures de location financière (ou location-exploitation)</t>
  </si>
  <si>
    <t>BS_FUTURE_MIN_OPER_LEASE_OBLIG</t>
  </si>
  <si>
    <t>Loc. acquisition - Total</t>
  </si>
  <si>
    <t>BS_TOTAL_CAPITAL_LEASES</t>
  </si>
  <si>
    <t>Options attribuées durant la période</t>
  </si>
  <si>
    <t>BS_OPTIONS_GRANTED</t>
  </si>
  <si>
    <t>Options en circulation (fin de la période)</t>
  </si>
  <si>
    <t>BS_OPTIONS_OUTSTANDING</t>
  </si>
  <si>
    <t>Dette nette</t>
  </si>
  <si>
    <t>NET_DEBT</t>
  </si>
  <si>
    <t>Dette nette/capitaux propres</t>
  </si>
  <si>
    <t>NET_DEBT_TO_SHRHLDR_EQTY</t>
  </si>
  <si>
    <t>Ratio Tangible Common Equity</t>
  </si>
  <si>
    <t>TCE_RATIO</t>
  </si>
  <si>
    <t>Ratio de liquidité générale</t>
  </si>
  <si>
    <t>CUR_RATIO</t>
  </si>
  <si>
    <t>Nombre d'employés</t>
  </si>
  <si>
    <t>NUM_OF_EMPLOYEES</t>
  </si>
  <si>
    <t>Source: Bloomberg</t>
  </si>
  <si>
    <t>Cliquer droit pour la transparence des données (pas dispo pour toutes valeurs)</t>
  </si>
  <si>
    <t>nombre d'action</t>
  </si>
  <si>
    <t>Fond de roulement</t>
  </si>
  <si>
    <t>Fond de roulement net</t>
  </si>
  <si>
    <t>Fond de roulement / action</t>
  </si>
  <si>
    <t>Fond de roulement net / action</t>
  </si>
  <si>
    <t>trésorerie nette</t>
  </si>
  <si>
    <t>trésorerie nette / action</t>
  </si>
  <si>
    <t>Gearing</t>
  </si>
  <si>
    <t>stock</t>
  </si>
  <si>
    <t>Retraitement des stock</t>
  </si>
  <si>
    <t>Stock / action</t>
  </si>
  <si>
    <t>Coût d'achat des marchandise vendues</t>
  </si>
  <si>
    <t>Stocks moyen</t>
  </si>
  <si>
    <t>Taux de rotation des stocks</t>
  </si>
  <si>
    <t>Durée moyenne de stockage</t>
  </si>
  <si>
    <t>Gévelot SA (ALGEV FP) - Ajusté</t>
  </si>
  <si>
    <t>12 dern m</t>
  </si>
  <si>
    <t>06/30/2020</t>
  </si>
  <si>
    <t>Revenus</t>
  </si>
  <si>
    <t>SALES_REV_TURN</t>
  </si>
  <si>
    <t xml:space="preserve">    + Revenus de ventes et services</t>
  </si>
  <si>
    <t>IS_SALES_AND_SERVICES_REVENUES</t>
  </si>
  <si>
    <t xml:space="preserve">  + Autres revenus d'exploitation</t>
  </si>
  <si>
    <t>IS_OTHER_OPER_INC</t>
  </si>
  <si>
    <t xml:space="preserve">  - Charges d'exploitation</t>
  </si>
  <si>
    <t>IS_OPERATING_EXPN</t>
  </si>
  <si>
    <t xml:space="preserve">    + Recherche &amp; Développement</t>
  </si>
  <si>
    <t>IS_OPEX_R&amp;D</t>
  </si>
  <si>
    <t xml:space="preserve">    + Autres charges d'exploitation</t>
  </si>
  <si>
    <t>IS_OTHER_OPERATING_EXPENSES</t>
  </si>
  <si>
    <t>Bénéfices (Pertes) d'exploitation</t>
  </si>
  <si>
    <t>IS_OPER_INC</t>
  </si>
  <si>
    <t xml:space="preserve">  - (Bénéfices) pertes hors exploitation</t>
  </si>
  <si>
    <t>IS_NONOP_INCOME_LOSS</t>
  </si>
  <si>
    <t xml:space="preserve">    + Charges d'intérêts, nettes</t>
  </si>
  <si>
    <t>IS_NET_INTEREST_EXPENSE</t>
  </si>
  <si>
    <t xml:space="preserve">    + Charges d'intérêt</t>
  </si>
  <si>
    <t>IS_INT_EXPENSE</t>
  </si>
  <si>
    <t xml:space="preserve">    - Revenus d'intérêts</t>
  </si>
  <si>
    <t>IS_INT_INC</t>
  </si>
  <si>
    <t xml:space="preserve">    + Pertes (Gains) de change</t>
  </si>
  <si>
    <t>IS_FOREIGN_EXCH_LOSS</t>
  </si>
  <si>
    <t xml:space="preserve">    + Bénéfices (Pertes) issus des filiales</t>
  </si>
  <si>
    <t>INCOME_LOSS_FROM_AFFILIATES</t>
  </si>
  <si>
    <t xml:space="preserve">    + Pertes (revenus) hors exploitation</t>
  </si>
  <si>
    <t>IS_OTHER_NON_OPERATING_INC_LOSS</t>
  </si>
  <si>
    <t>Bénéfices (pertes) avant impôts, ajusté</t>
  </si>
  <si>
    <t>PRETAX_INC</t>
  </si>
  <si>
    <t xml:space="preserve">  - Perte anormale</t>
  </si>
  <si>
    <t>IS_ABNORMAL_ITEM</t>
  </si>
  <si>
    <t xml:space="preserve">    + Cession d'actifs</t>
  </si>
  <si>
    <t>IS_GAIN_LOSS_DISPOSAL_ASSETS</t>
  </si>
  <si>
    <t xml:space="preserve">    + Règlement juridique</t>
  </si>
  <si>
    <t>IS_LEGAL_LITIGATION_SETTLEMENT</t>
  </si>
  <si>
    <t xml:space="preserve">    + Vente d'investissements</t>
  </si>
  <si>
    <t>IS_GAIN_LOSS_ON_INVESTMENTS</t>
  </si>
  <si>
    <t xml:space="preserve">    + Autres éléments exceptionnels</t>
  </si>
  <si>
    <t>IS_OTHER_ONE_TIME_ITEMS</t>
  </si>
  <si>
    <t>Bénéfices (pertes) avant impôts, GAAP</t>
  </si>
  <si>
    <t xml:space="preserve">  - Charges(Crédits) d'impôts</t>
  </si>
  <si>
    <t>IS_INC_TAX_EXP</t>
  </si>
  <si>
    <t xml:space="preserve">    + Impôts actuels</t>
  </si>
  <si>
    <t>IS_CURRENT_INCOME_TAX_BENEFIT</t>
  </si>
  <si>
    <t xml:space="preserve">    + Impôts différés</t>
  </si>
  <si>
    <t>IS_DEFERRED_INCOME_TAX_BENEFIT</t>
  </si>
  <si>
    <t xml:space="preserve">  - Bénéfices (Pertes) issus des filiales</t>
  </si>
  <si>
    <t>IS_SH_PRO_EQY_MT_INV_NET_OF_TAX</t>
  </si>
  <si>
    <t>Bénéfices (Pertes) des activ poursuiv</t>
  </si>
  <si>
    <t>IS_INC_BEF_XO_ITEM</t>
  </si>
  <si>
    <t xml:space="preserve">  - Pertes (Gains) exceptionnels nets</t>
  </si>
  <si>
    <t>XO_GL_NET_OF_TAX</t>
  </si>
  <si>
    <t xml:space="preserve">    + Activités abandonnées</t>
  </si>
  <si>
    <t>IS_DISCONTINUED_OPERATIONS</t>
  </si>
  <si>
    <t xml:space="preserve">    + XO et changements comptables</t>
  </si>
  <si>
    <t>IS_EXTRAORD_ITEMS_&amp;_ACCTG_CHNG</t>
  </si>
  <si>
    <t>Revenus (pertes) y.c. int minoritaires</t>
  </si>
  <si>
    <t>NI_INCLUDING_MINORITY_INT_RATIO</t>
  </si>
  <si>
    <t xml:space="preserve">  - Int. minoritaires</t>
  </si>
  <si>
    <t>MIN_NONCONTROL_INTEREST_CREDITS</t>
  </si>
  <si>
    <t>Résultat net, GAAP</t>
  </si>
  <si>
    <t>NET_INCOME</t>
  </si>
  <si>
    <t xml:space="preserve">  - Dividendes preferred</t>
  </si>
  <si>
    <t>IS_TOT_CASH_PFD_DVD</t>
  </si>
  <si>
    <t xml:space="preserve">  - Autres ajustements</t>
  </si>
  <si>
    <t>OTHER_ADJUSTMENTS</t>
  </si>
  <si>
    <t>Résultat net dispo aux actionn ord, GAAP</t>
  </si>
  <si>
    <t>EARN_FOR_COMMON</t>
  </si>
  <si>
    <t>Rés net dispon actionn ordin, ajust</t>
  </si>
  <si>
    <t xml:space="preserve">  Pertes (gains) extraordinaires nettes</t>
  </si>
  <si>
    <t>IS_NET_ABNORMAL_ITEMS</t>
  </si>
  <si>
    <t xml:space="preserve">  Pertes (Gains) exceptionnels nets</t>
  </si>
  <si>
    <t>Nb moyen d'actions pour BPA non dilué</t>
  </si>
  <si>
    <t>IS_AVG_NUM_SH_FOR_EPS</t>
  </si>
  <si>
    <t>BPA non dilué, GAAP</t>
  </si>
  <si>
    <t>IS_EPS</t>
  </si>
  <si>
    <t>BPA non dilué des activ poursuiv</t>
  </si>
  <si>
    <t>IS_EARN_BEF_XO_ITEMS_PER_SH</t>
  </si>
  <si>
    <t>BPA non dilué des activ poursuiv, ajusté</t>
  </si>
  <si>
    <t>IS_BASIC_EPS_CONT_OPS</t>
  </si>
  <si>
    <t>Nb moyen d'actions pour BPA dilué</t>
  </si>
  <si>
    <t>IS_SH_FOR_DILUTED_EPS</t>
  </si>
  <si>
    <t>BPA dilué, GAAP</t>
  </si>
  <si>
    <t>IS_DILUTED_EPS</t>
  </si>
  <si>
    <t>BPA dilué des activ poursuiv</t>
  </si>
  <si>
    <t>IS_DIL_EPS_BEF_XO</t>
  </si>
  <si>
    <t>BPA dilué des activ poursuiv, ajusté</t>
  </si>
  <si>
    <t>IS_DIL_EPS_CONT_OPS</t>
  </si>
  <si>
    <t>EBITDA</t>
  </si>
  <si>
    <t>Marge EBITDA (T12M)</t>
  </si>
  <si>
    <t>EBITDA_MARGIN</t>
  </si>
  <si>
    <t>EBITA</t>
  </si>
  <si>
    <t>EBIT</t>
  </si>
  <si>
    <t>Marge d'exploitation</t>
  </si>
  <si>
    <t>OPER_MARGIN</t>
  </si>
  <si>
    <t>Marge de profit</t>
  </si>
  <si>
    <t>PROF_MARGIN</t>
  </si>
  <si>
    <t>Ventes par employé</t>
  </si>
  <si>
    <t>ACTUAL_SALES_PER_EMPL</t>
  </si>
  <si>
    <t>Dividende par action</t>
  </si>
  <si>
    <t>EQY_DPS</t>
  </si>
  <si>
    <t>Dvd ordinaire cash total</t>
  </si>
  <si>
    <t>IS_TOT_CASH_COM_DVD</t>
  </si>
  <si>
    <t>Frais de personnel</t>
  </si>
  <si>
    <t>IS_PERSONNEL_EXP</t>
  </si>
  <si>
    <t>Dépréciation</t>
  </si>
  <si>
    <t>IS_DEPR_EXP</t>
  </si>
  <si>
    <t>Rotation des créances</t>
  </si>
  <si>
    <t>(incorporelles+impots différés+goodwill)/total bilan</t>
  </si>
  <si>
    <t>amortissement/ total actifs fixes</t>
  </si>
  <si>
    <t>Fonds propre/action</t>
  </si>
  <si>
    <t>Dividendes distribués</t>
  </si>
  <si>
    <t>charges financières/résultat d'exploitation</t>
  </si>
  <si>
    <t>VANN</t>
  </si>
  <si>
    <t>VANN/action</t>
  </si>
  <si>
    <t>VANE</t>
  </si>
  <si>
    <t>VANE/action</t>
  </si>
  <si>
    <t>VANT</t>
  </si>
  <si>
    <t>VANT/action</t>
  </si>
  <si>
    <t>cours</t>
  </si>
  <si>
    <t>Cours/VANN</t>
  </si>
  <si>
    <t>Cours/VANE</t>
  </si>
  <si>
    <t>Cours/VANT</t>
  </si>
  <si>
    <t>objectif de cours</t>
  </si>
  <si>
    <t>?</t>
  </si>
  <si>
    <t>Actifs circulant liquide net</t>
  </si>
  <si>
    <t>note et calcul</t>
  </si>
  <si>
    <t>90% des Matériaux de base + 50% du travail en cours + 75% des produits finis + 0% des autres stocks</t>
  </si>
  <si>
    <t>Structure du bilan équilibré, actifs long terme financé par des ressources long terme</t>
  </si>
  <si>
    <t>Fond de roulement - Total des dettes long terme</t>
  </si>
  <si>
    <t>en hausse depuis 2010 et positif</t>
  </si>
  <si>
    <t>Valeur comptable</t>
  </si>
  <si>
    <t>Cash et équivalents et investissement court terme + fonds propre avant intérêt minoritaires (ajouter intérêts minoritaires?) - goodwill - total des actifs incorporels - autres actifs incorporels
Positif et en progression depuis 2010</t>
  </si>
  <si>
    <t>Total des actifs court terme - Total des dettes court terme
J'ai pas pris en compte les autres actifs court terme (faudrait-il les intégrer?) et je n'ai pas retraité les stock</t>
  </si>
  <si>
    <t>Cash et équivalents et investissement court terme - dette CT - Dette LT</t>
  </si>
  <si>
    <t>surplus de trésorerie et en progression</t>
  </si>
  <si>
    <t>dette financière nettes / fond propres (sans les intérêt minoritaires)
largement inferieur à 1</t>
  </si>
  <si>
    <t>solvabilité (ratio d'indépendance)</t>
  </si>
  <si>
    <t>total Equity / (total du bilan - cash et équivalents et investissement court terme)
Largement supérieur au ratio minimum de 40%</t>
  </si>
  <si>
    <t>stable dans le temps</t>
  </si>
  <si>
    <t>total equity / nb action
En hausse donc création de valeur</t>
  </si>
  <si>
    <t>total de l'actif court terme (avec retraitement des stock) - Total des dettes court terme - total du passif long terme - intérêts minoritaires</t>
  </si>
  <si>
    <t>VANN + Propriétés, usines et équipements Net * 0,8</t>
  </si>
  <si>
    <t>cours sur évalué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</si>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</sst>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#,##0.0"/>
    <numFmt numFmtId="166" formatCode="#,##0.0000000"/>
  </numFmts>
  <fonts count="29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9"/>
      <name val="Calibri"/>
      <family val="2"/>
    </font>
    <font>
      <sz val="10"/>
      <color indexed="63"/>
      <name val="Arial"/>
      <family val="2"/>
    </font>
    <font>
      <i/>
      <sz val="10"/>
      <color indexed="63"/>
      <name val="Arial"/>
      <family val="2"/>
    </font>
    <font>
      <b/>
      <sz val="16"/>
      <color indexed="9"/>
      <name val="Arial"/>
      <family val="2"/>
    </font>
    <font>
      <sz val="10"/>
      <name val="Calibri"/>
      <family val="2"/>
    </font>
    <font>
      <b/>
      <sz val="10"/>
      <color indexed="9"/>
      <name val="Arial"/>
      <family val="2"/>
    </font>
    <font>
      <b/>
      <sz val="10"/>
      <color indexed="8"/>
      <name val="Arial"/>
      <family val="2"/>
    </font>
    <font>
      <sz val="10"/>
      <color indexed="63"/>
      <name val="Arial"/>
      <family val="2"/>
    </font>
    <font>
      <i/>
      <sz val="10"/>
      <color indexed="63"/>
      <name val="Arial"/>
      <family val="2"/>
    </font>
    <font>
      <i/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4F81B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9">
    <xf numFmtId="0" fontId="0" fillId="0" borderId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28" fillId="12" borderId="0" applyNumberFormat="0" applyBorder="0" applyAlignment="0" applyProtection="0"/>
    <xf numFmtId="0" fontId="28" fillId="16" borderId="0" applyNumberFormat="0" applyBorder="0" applyAlignment="0" applyProtection="0"/>
    <xf numFmtId="0" fontId="28" fillId="20" borderId="0" applyNumberFormat="0" applyBorder="0" applyAlignment="0" applyProtection="0"/>
    <xf numFmtId="0" fontId="28" fillId="24" borderId="0" applyNumberFormat="0" applyBorder="0" applyAlignment="0" applyProtection="0"/>
    <xf numFmtId="0" fontId="28" fillId="28" borderId="0" applyNumberFormat="0" applyBorder="0" applyAlignment="0" applyProtection="0"/>
    <xf numFmtId="0" fontId="28" fillId="32" borderId="0" applyNumberFormat="0" applyBorder="0" applyAlignment="0" applyProtection="0"/>
    <xf numFmtId="0" fontId="28" fillId="9" borderId="0" applyNumberFormat="0" applyBorder="0" applyAlignment="0" applyProtection="0"/>
    <xf numFmtId="0" fontId="28" fillId="13" borderId="0" applyNumberFormat="0" applyBorder="0" applyAlignment="0" applyProtection="0"/>
    <xf numFmtId="0" fontId="28" fillId="17" borderId="0" applyNumberFormat="0" applyBorder="0" applyAlignment="0" applyProtection="0"/>
    <xf numFmtId="0" fontId="28" fillId="21" borderId="0" applyNumberFormat="0" applyBorder="0" applyAlignment="0" applyProtection="0"/>
    <xf numFmtId="0" fontId="28" fillId="25" borderId="0" applyNumberFormat="0" applyBorder="0" applyAlignment="0" applyProtection="0"/>
    <xf numFmtId="0" fontId="28" fillId="29" borderId="0" applyNumberFormat="0" applyBorder="0" applyAlignment="0" applyProtection="0"/>
    <xf numFmtId="0" fontId="18" fillId="3" borderId="0" applyNumberFormat="0" applyBorder="0" applyAlignment="0" applyProtection="0"/>
    <xf numFmtId="0" fontId="2" fillId="33" borderId="0"/>
    <xf numFmtId="0" fontId="22" fillId="6" borderId="10" applyNumberFormat="0" applyAlignment="0" applyProtection="0"/>
    <xf numFmtId="0" fontId="24" fillId="7" borderId="13" applyNumberFormat="0" applyAlignment="0" applyProtection="0"/>
    <xf numFmtId="0" fontId="26" fillId="0" borderId="0" applyNumberFormat="0" applyFill="0" applyBorder="0" applyAlignment="0" applyProtection="0"/>
    <xf numFmtId="0" fontId="7" fillId="33" borderId="2">
      <alignment horizontal="right"/>
    </xf>
    <xf numFmtId="0" fontId="6" fillId="34" borderId="0" applyNumberFormat="0" applyBorder="0" applyProtection="0">
      <alignment horizontal="center"/>
    </xf>
    <xf numFmtId="0" fontId="7" fillId="33" borderId="4">
      <alignment horizontal="right"/>
    </xf>
    <xf numFmtId="0" fontId="7" fillId="33" borderId="4">
      <alignment horizontal="left"/>
    </xf>
    <xf numFmtId="0" fontId="11" fillId="36" borderId="5" applyNumberFormat="0" applyAlignment="0" applyProtection="0"/>
    <xf numFmtId="0" fontId="8" fillId="34" borderId="6"/>
    <xf numFmtId="0" fontId="10" fillId="34" borderId="6"/>
    <xf numFmtId="0" fontId="9" fillId="34" borderId="6"/>
    <xf numFmtId="0" fontId="17" fillId="2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20" fillId="5" borderId="10" applyNumberFormat="0" applyAlignment="0" applyProtection="0"/>
    <xf numFmtId="0" fontId="23" fillId="0" borderId="12" applyNumberFormat="0" applyFill="0" applyAlignment="0" applyProtection="0"/>
    <xf numFmtId="0" fontId="19" fillId="4" borderId="0" applyNumberFormat="0" applyBorder="0" applyAlignment="0" applyProtection="0"/>
    <xf numFmtId="0" fontId="12" fillId="8" borderId="14" applyNumberFormat="0" applyFont="0" applyAlignment="0" applyProtection="0"/>
    <xf numFmtId="0" fontId="21" fillId="6" borderId="11" applyNumberFormat="0" applyAlignment="0" applyProtection="0"/>
    <xf numFmtId="0" fontId="13" fillId="0" borderId="0" applyNumberFormat="0" applyFill="0" applyBorder="0" applyAlignment="0" applyProtection="0"/>
    <xf numFmtId="0" fontId="27" fillId="0" borderId="15" applyNumberFormat="0" applyFill="0" applyAlignment="0" applyProtection="0"/>
    <xf numFmtId="0" fontId="25" fillId="0" borderId="0" applyNumberFormat="0" applyFill="0" applyBorder="0" applyAlignment="0" applyProtection="0"/>
    <xf numFmtId="0" fontId="5" fillId="33" borderId="16" applyNumberFormat="0" applyProtection="0">
      <alignment horizontal="left" vertical="center" readingOrder="1"/>
    </xf>
    <xf numFmtId="0" fontId="7" fillId="33" borderId="2">
      <alignment horizontal="left"/>
    </xf>
    <xf numFmtId="3" fontId="1" fillId="34" borderId="3">
      <alignment horizontal="right"/>
    </xf>
    <xf numFmtId="165" fontId="1" fillId="34" borderId="3">
      <alignment horizontal="right"/>
    </xf>
    <xf numFmtId="4" fontId="1" fillId="34" borderId="3">
      <alignment horizontal="right"/>
    </xf>
    <xf numFmtId="3" fontId="8" fillId="34" borderId="3">
      <alignment horizontal="right"/>
    </xf>
    <xf numFmtId="165" fontId="8" fillId="34" borderId="3">
      <alignment horizontal="right"/>
    </xf>
    <xf numFmtId="165" fontId="11" fillId="34" borderId="3">
      <alignment horizontal="right"/>
    </xf>
    <xf numFmtId="4" fontId="1" fillId="35" borderId="3">
      <alignment horizontal="right"/>
    </xf>
    <xf numFmtId="3" fontId="1" fillId="35" borderId="3">
      <alignment horizontal="right"/>
    </xf>
    <xf numFmtId="4" fontId="8" fillId="35" borderId="3">
      <alignment horizontal="right"/>
    </xf>
    <xf numFmtId="4" fontId="8" fillId="34" borderId="3">
      <alignment horizontal="right"/>
    </xf>
    <xf numFmtId="3" fontId="8" fillId="35" borderId="3">
      <alignment horizontal="right"/>
    </xf>
    <xf numFmtId="165" fontId="11" fillId="35" borderId="3">
      <alignment horizontal="right"/>
    </xf>
    <xf numFmtId="165" fontId="1" fillId="35" borderId="3">
      <alignment horizontal="right"/>
    </xf>
    <xf numFmtId="165" fontId="8" fillId="35" borderId="3">
      <alignment horizontal="right"/>
    </xf>
    <xf numFmtId="164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58">
    <xf numFmtId="0" fontId="0" fillId="0" borderId="0" xfId="0"/>
    <xf numFmtId="0" fontId="0" fillId="0" borderId="1" xfId="0" applyBorder="1"/>
    <xf numFmtId="166" fontId="1" fillId="34" borderId="3" xfId="54" applyNumberFormat="1" applyFont="1" applyFill="1" applyBorder="1" applyAlignment="1" applyProtection="1">
      <alignment horizontal="right"/>
    </xf>
    <xf numFmtId="4" fontId="1" fillId="35" borderId="3" xfId="59" applyNumberFormat="1" applyFont="1" applyFill="1" applyBorder="1" applyAlignment="1" applyProtection="1">
      <alignment horizontal="right"/>
    </xf>
    <xf numFmtId="3" fontId="1" fillId="35" borderId="3" xfId="60" applyNumberFormat="1" applyFont="1" applyFill="1" applyBorder="1" applyAlignment="1" applyProtection="1">
      <alignment horizontal="right"/>
    </xf>
    <xf numFmtId="4" fontId="8" fillId="35" borderId="3" xfId="61" applyNumberFormat="1" applyFont="1" applyFill="1" applyBorder="1" applyAlignment="1" applyProtection="1">
      <alignment horizontal="right"/>
    </xf>
    <xf numFmtId="4" fontId="8" fillId="34" borderId="3" xfId="62" applyNumberFormat="1" applyFont="1" applyFill="1" applyBorder="1" applyAlignment="1" applyProtection="1">
      <alignment horizontal="right"/>
    </xf>
    <xf numFmtId="3" fontId="8" fillId="35" borderId="3" xfId="63" applyNumberFormat="1" applyFont="1" applyFill="1" applyBorder="1" applyAlignment="1" applyProtection="1">
      <alignment horizontal="right"/>
    </xf>
    <xf numFmtId="165" fontId="11" fillId="35" borderId="3" xfId="64" applyNumberFormat="1" applyFont="1" applyFill="1" applyBorder="1" applyAlignment="1" applyProtection="1">
      <alignment horizontal="right"/>
    </xf>
    <xf numFmtId="0" fontId="4" fillId="34" borderId="19" xfId="36" applyNumberFormat="1" applyFont="1" applyFill="1" applyBorder="1" applyAlignment="1" applyProtection="1"/>
    <xf numFmtId="165" fontId="1" fillId="35" borderId="3" xfId="65" applyNumberFormat="1" applyFont="1" applyFill="1" applyBorder="1" applyAlignment="1" applyProtection="1">
      <alignment horizontal="right"/>
    </xf>
    <xf numFmtId="0" fontId="3" fillId="34" borderId="19" xfId="37" applyNumberFormat="1" applyFont="1" applyFill="1" applyBorder="1" applyAlignment="1" applyProtection="1"/>
    <xf numFmtId="165" fontId="8" fillId="35" borderId="3" xfId="66" applyNumberFormat="1" applyFont="1" applyFill="1" applyBorder="1" applyAlignment="1" applyProtection="1">
      <alignment horizontal="right"/>
    </xf>
    <xf numFmtId="0" fontId="8" fillId="34" borderId="19" xfId="35" applyNumberFormat="1" applyFont="1" applyFill="1" applyBorder="1" applyAlignment="1" applyProtection="1"/>
    <xf numFmtId="0" fontId="7" fillId="33" borderId="18" xfId="30" applyNumberFormat="1" applyFont="1" applyFill="1" applyBorder="1" applyAlignment="1" applyProtection="1">
      <alignment horizontal="right"/>
    </xf>
    <xf numFmtId="0" fontId="7" fillId="33" borderId="17" xfId="32" applyNumberFormat="1" applyFont="1" applyFill="1" applyBorder="1" applyAlignment="1" applyProtection="1">
      <alignment horizontal="right"/>
    </xf>
    <xf numFmtId="0" fontId="7" fillId="33" borderId="17" xfId="33" applyNumberFormat="1" applyFont="1" applyFill="1" applyBorder="1" applyAlignment="1" applyProtection="1">
      <alignment horizontal="left"/>
    </xf>
    <xf numFmtId="0" fontId="2" fillId="33" borderId="0" xfId="26" applyNumberFormat="1" applyFont="1" applyFill="1" applyBorder="1" applyAlignment="1" applyProtection="1"/>
    <xf numFmtId="0" fontId="6" fillId="34" borderId="0" xfId="31" applyFont="1" applyFill="1" applyAlignment="1">
      <alignment horizontal="center"/>
    </xf>
    <xf numFmtId="0" fontId="7" fillId="33" borderId="4" xfId="33" applyNumberFormat="1" applyFont="1" applyFill="1" applyBorder="1" applyAlignment="1" applyProtection="1">
      <alignment horizontal="left"/>
    </xf>
    <xf numFmtId="0" fontId="7" fillId="33" borderId="4" xfId="32" applyNumberFormat="1" applyFont="1" applyFill="1" applyBorder="1" applyAlignment="1" applyProtection="1">
      <alignment horizontal="right"/>
    </xf>
    <xf numFmtId="0" fontId="7" fillId="33" borderId="2" xfId="30" applyNumberFormat="1" applyFont="1" applyFill="1" applyBorder="1" applyAlignment="1" applyProtection="1">
      <alignment horizontal="right"/>
    </xf>
    <xf numFmtId="0" fontId="8" fillId="34" borderId="6" xfId="35" applyNumberFormat="1" applyFont="1" applyFill="1" applyBorder="1" applyAlignment="1" applyProtection="1"/>
    <xf numFmtId="0" fontId="11" fillId="36" borderId="5" xfId="34" applyFont="1" applyFill="1" applyBorder="1"/>
    <xf numFmtId="0" fontId="5" fillId="33" borderId="16" xfId="51" applyFont="1" applyFill="1" applyBorder="1" applyAlignment="1">
      <alignment horizontal="left" vertical="center" readingOrder="1"/>
    </xf>
    <xf numFmtId="0" fontId="7" fillId="33" borderId="2" xfId="52">
      <alignment horizontal="left"/>
    </xf>
    <xf numFmtId="0" fontId="3" fillId="34" borderId="6" xfId="37" applyNumberFormat="1" applyFont="1" applyFill="1" applyBorder="1" applyAlignment="1" applyProtection="1"/>
    <xf numFmtId="0" fontId="4" fillId="34" borderId="6" xfId="36" applyNumberFormat="1" applyFont="1" applyFill="1" applyBorder="1" applyAlignment="1" applyProtection="1"/>
    <xf numFmtId="3" fontId="1" fillId="34" borderId="3" xfId="53" applyNumberFormat="1" applyFont="1" applyFill="1" applyBorder="1" applyAlignment="1" applyProtection="1">
      <alignment horizontal="right"/>
    </xf>
    <xf numFmtId="165" fontId="1" fillId="34" borderId="3" xfId="54" applyNumberFormat="1" applyFont="1" applyFill="1" applyBorder="1" applyAlignment="1" applyProtection="1">
      <alignment horizontal="right"/>
    </xf>
    <xf numFmtId="4" fontId="1" fillId="34" borderId="3" xfId="55" applyNumberFormat="1" applyFont="1" applyFill="1" applyBorder="1" applyAlignment="1" applyProtection="1">
      <alignment horizontal="right"/>
    </xf>
    <xf numFmtId="3" fontId="8" fillId="34" borderId="3" xfId="56" applyNumberFormat="1" applyFont="1" applyFill="1" applyBorder="1" applyAlignment="1" applyProtection="1">
      <alignment horizontal="right"/>
    </xf>
    <xf numFmtId="165" fontId="8" fillId="34" borderId="3" xfId="57" applyNumberFormat="1" applyFont="1" applyFill="1" applyBorder="1" applyAlignment="1" applyProtection="1">
      <alignment horizontal="right"/>
    </xf>
    <xf numFmtId="165" fontId="11" fillId="34" borderId="3" xfId="58" applyNumberFormat="1" applyFont="1" applyFill="1" applyBorder="1" applyAlignment="1" applyProtection="1">
      <alignment horizontal="right"/>
    </xf>
    <xf numFmtId="0" fontId="0" fillId="37" borderId="1" xfId="0" applyFill="1" applyBorder="1" applyAlignment="1">
      <alignment horizontal="center"/>
    </xf>
    <xf numFmtId="2" fontId="0" fillId="39" borderId="1" xfId="0" applyNumberFormat="1" applyFill="1" applyBorder="1" applyAlignment="1">
      <alignment horizontal="center" vertical="center"/>
    </xf>
    <xf numFmtId="0" fontId="0" fillId="37" borderId="0" xfId="0" applyFill="1" applyAlignment="1">
      <alignment horizontal="center"/>
    </xf>
    <xf numFmtId="0" fontId="0" fillId="40" borderId="0" xfId="0" applyFill="1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0" fillId="37" borderId="1" xfId="0" applyFill="1" applyBorder="1" applyAlignment="1">
      <alignment horizontal="left" vertical="center"/>
    </xf>
    <xf numFmtId="0" fontId="3" fillId="37" borderId="1" xfId="37" applyNumberFormat="1" applyFont="1" applyFill="1" applyBorder="1" applyAlignment="1" applyProtection="1">
      <alignment horizontal="left" vertical="center"/>
    </xf>
    <xf numFmtId="0" fontId="3" fillId="37" borderId="20" xfId="37" applyNumberFormat="1" applyFont="1" applyFill="1" applyBorder="1" applyAlignment="1" applyProtection="1">
      <alignment horizontal="left" vertical="center"/>
    </xf>
    <xf numFmtId="164" fontId="0" fillId="0" borderId="1" xfId="67" applyFont="1" applyFill="1" applyBorder="1" applyAlignment="1">
      <alignment horizontal="center" vertical="center"/>
    </xf>
    <xf numFmtId="165" fontId="1" fillId="34" borderId="3" xfId="54" applyNumberFormat="1" applyFont="1" applyFill="1" applyBorder="1" applyAlignment="1" applyProtection="1">
      <alignment horizontal="center" vertical="center"/>
    </xf>
    <xf numFmtId="43" fontId="0" fillId="39" borderId="1" xfId="0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38" borderId="0" xfId="0" applyFill="1" applyBorder="1" applyAlignment="1">
      <alignment horizontal="center" vertical="center"/>
    </xf>
    <xf numFmtId="0" fontId="0" fillId="39" borderId="1" xfId="0" applyFill="1" applyBorder="1" applyAlignment="1">
      <alignment horizontal="center" vertical="center"/>
    </xf>
    <xf numFmtId="2" fontId="0" fillId="39" borderId="1" xfId="68" applyNumberFormat="1" applyFont="1" applyFill="1" applyBorder="1" applyAlignment="1">
      <alignment horizontal="center" vertical="center"/>
    </xf>
    <xf numFmtId="0" fontId="0" fillId="40" borderId="0" xfId="0" applyFill="1" applyAlignment="1">
      <alignment wrapText="1"/>
    </xf>
    <xf numFmtId="0" fontId="0" fillId="0" borderId="0" xfId="0" applyFill="1" applyAlignment="1">
      <alignment wrapText="1"/>
    </xf>
    <xf numFmtId="0" fontId="0" fillId="42" borderId="0" xfId="0" applyFill="1"/>
    <xf numFmtId="0" fontId="0" fillId="41" borderId="0" xfId="0" applyFill="1"/>
  </cellXfs>
  <cellStyles count="69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50" builtinId="11" customBuiltin="1"/>
    <cellStyle name="blp_column_header" xfId="26"/>
    <cellStyle name="blp_title_header_row_left" xfId="51"/>
    <cellStyle name="Calcul" xfId="27" builtinId="22" customBuiltin="1"/>
    <cellStyle name="Cellule liée" xfId="44" builtinId="24" customBuiltin="1"/>
    <cellStyle name="Commentaire" xfId="46" builtinId="10" customBuiltin="1"/>
    <cellStyle name="Entrée" xfId="43" builtinId="20" customBuiltin="1"/>
    <cellStyle name="fa_column_header_bottom" xfId="30"/>
    <cellStyle name="fa_column_header_bottom_left" xfId="52"/>
    <cellStyle name="fa_column_header_empty" xfId="31"/>
    <cellStyle name="fa_column_header_top" xfId="32"/>
    <cellStyle name="fa_column_header_top_left" xfId="33"/>
    <cellStyle name="fa_data_bold_0_grouped" xfId="56"/>
    <cellStyle name="fa_data_bold_1_grouped" xfId="57"/>
    <cellStyle name="fa_data_bold_2_grouped" xfId="62"/>
    <cellStyle name="fa_data_current_bold_0_grouped" xfId="63"/>
    <cellStyle name="fa_data_current_bold_1_grouped" xfId="66"/>
    <cellStyle name="fa_data_current_bold_2_grouped" xfId="61"/>
    <cellStyle name="fa_data_current_italic_1_grouped" xfId="64"/>
    <cellStyle name="fa_data_current_standard_0_grouped" xfId="60"/>
    <cellStyle name="fa_data_current_standard_1_grouped" xfId="65"/>
    <cellStyle name="fa_data_current_standard_2_grouped" xfId="59"/>
    <cellStyle name="fa_data_italic_1_grouped" xfId="58"/>
    <cellStyle name="fa_data_standard_0_grouped" xfId="53"/>
    <cellStyle name="fa_data_standard_1_grouped" xfId="54"/>
    <cellStyle name="fa_data_standard_2_grouped" xfId="55"/>
    <cellStyle name="fa_footer_italic" xfId="34"/>
    <cellStyle name="fa_row_header_bold" xfId="35"/>
    <cellStyle name="fa_row_header_italic" xfId="36"/>
    <cellStyle name="fa_row_header_standard" xfId="37"/>
    <cellStyle name="Insatisfaisant" xfId="25" builtinId="27" customBuiltin="1"/>
    <cellStyle name="Milliers" xfId="67" builtinId="3"/>
    <cellStyle name="Neutre" xfId="45" builtinId="28" customBuiltin="1"/>
    <cellStyle name="Normal" xfId="0" builtinId="0"/>
    <cellStyle name="Pourcentage" xfId="68" builtinId="5"/>
    <cellStyle name="Satisfaisant" xfId="38" builtinId="26" customBuiltin="1"/>
    <cellStyle name="Sortie" xfId="47" builtinId="21" customBuiltin="1"/>
    <cellStyle name="Texte explicatif" xfId="29" builtinId="53" customBuiltin="1"/>
    <cellStyle name="Titre" xfId="48" builtinId="15" customBuiltin="1"/>
    <cellStyle name="Titre 1" xfId="39" builtinId="16" customBuiltin="1"/>
    <cellStyle name="Titre 2" xfId="40" builtinId="17" customBuiltin="1"/>
    <cellStyle name="Titre 3" xfId="41" builtinId="18" customBuiltin="1"/>
    <cellStyle name="Titre 4" xfId="42" builtinId="19" customBuiltin="1"/>
    <cellStyle name="Total" xfId="49" builtinId="25" customBuiltin="1"/>
    <cellStyle name="Vérification" xfId="28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bofaddin.rtdserver">
      <tp t="e">
        <v>#N/A</v>
        <stp/>
        <stp>BDH|14425669563157652962</stp>
        <tr r="D40" s="2"/>
      </tp>
      <tp t="e">
        <v>#N/A</v>
        <stp/>
        <stp>BDH|12257337234921632935</stp>
        <tr r="C19" s="4"/>
      </tp>
      <tp t="e">
        <v>#N/A</v>
        <stp/>
        <stp>BDH|11079724784937080363</stp>
        <tr r="E9" s="2"/>
      </tp>
      <tp t="e">
        <v>#N/A</v>
        <stp/>
        <stp>BDH|13835968855062971715</stp>
        <tr r="J48" s="2"/>
      </tp>
      <tp t="e">
        <v>#N/A</v>
        <stp/>
        <stp>BDH|16599301962868231161</stp>
        <tr r="E41" s="2"/>
      </tp>
      <tp t="e">
        <v>#N/A</v>
        <stp/>
        <stp>BDH|15575731346608528467</stp>
        <tr r="J74" s="2"/>
      </tp>
      <tp t="e">
        <v>#N/A</v>
        <stp/>
        <stp>BDH|10762829837733211228</stp>
        <tr r="E17" s="4"/>
      </tp>
      <tp t="e">
        <v>#N/A</v>
        <stp/>
        <stp>BDH|10144260335762057903</stp>
        <tr r="E30" s="4"/>
      </tp>
      <tp t="e">
        <v>#N/A</v>
        <stp/>
        <stp>BDH|11621009193680739272</stp>
        <tr r="F62" s="2"/>
      </tp>
      <tp t="e">
        <v>#N/A</v>
        <stp/>
        <stp>BDH|11458181310599852234</stp>
        <tr r="F48" s="4"/>
      </tp>
      <tp t="e">
        <v>#N/A</v>
        <stp/>
        <stp>BDH|15173145225968202440</stp>
        <tr r="D62" s="4"/>
      </tp>
      <tp t="e">
        <v>#N/A</v>
        <stp/>
        <stp>BDH|13928460961979022270</stp>
        <tr r="G29" s="2"/>
      </tp>
      <tp t="e">
        <v>#N/A</v>
        <stp/>
        <stp>BDH|15275075138878211464</stp>
        <tr r="I48" s="2"/>
      </tp>
      <tp t="e">
        <v>#N/A</v>
        <stp/>
        <stp>BDH|11532051573704850823</stp>
        <tr r="G69" s="2"/>
      </tp>
      <tp t="e">
        <v>#N/A</v>
        <stp/>
        <stp>BDH|12932036784777236749</stp>
        <tr r="C73" s="2"/>
      </tp>
      <tp t="e">
        <v>#N/A</v>
        <stp/>
        <stp>BDH|12968068093839078843</stp>
        <tr r="I57" s="2"/>
      </tp>
      <tp t="e">
        <v>#N/A</v>
        <stp/>
        <stp>BDH|10875995359933090533</stp>
        <tr r="D64" s="2"/>
      </tp>
      <tp t="e">
        <v>#N/A</v>
        <stp/>
        <stp>BDH|13624287886346411577</stp>
        <tr r="L30" s="2"/>
      </tp>
      <tp t="e">
        <v>#N/A</v>
        <stp/>
        <stp>BDH|16274983634715781332</stp>
        <tr r="L75" s="2"/>
      </tp>
      <tp t="e">
        <v>#N/A</v>
        <stp/>
        <stp>BDH|12622490064209719366</stp>
        <tr r="J25" s="2"/>
      </tp>
      <tp t="e">
        <v>#N/A</v>
        <stp/>
        <stp>BDH|10804375391546441667</stp>
        <tr r="I55" s="2"/>
      </tp>
      <tp t="e">
        <v>#N/A</v>
        <stp/>
        <stp>BDH|12768942021347650551</stp>
        <tr r="K10" s="2"/>
      </tp>
      <tp t="e">
        <v>#N/A</v>
        <stp/>
        <stp>BDH|17370183490416373294</stp>
        <tr r="K47" s="2"/>
      </tp>
      <tp t="e">
        <v>#N/A</v>
        <stp/>
        <stp>BDH|12478206012123519924</stp>
        <tr r="J86" s="2"/>
      </tp>
      <tp t="e">
        <v>#N/A</v>
        <stp/>
        <stp>BDH|11031259885584228423</stp>
        <tr r="E17" s="2"/>
        <tr r="D9" s="3"/>
      </tp>
      <tp t="e">
        <v>#N/A</v>
        <stp/>
        <stp>BDH|11892780960338691358</stp>
        <tr r="D91" s="2"/>
      </tp>
      <tp t="e">
        <v>#N/A</v>
        <stp/>
        <stp>BDH|16697415116819721154</stp>
        <tr r="K16" s="2"/>
      </tp>
      <tp t="e">
        <v>#N/A</v>
        <stp/>
        <stp>BDH|15921874699327329862</stp>
        <tr r="C90" s="2"/>
      </tp>
      <tp t="e">
        <v>#N/A</v>
        <stp/>
        <stp>BDH|11089496409136367860</stp>
        <tr r="E31" s="4"/>
      </tp>
      <tp t="e">
        <v>#N/A</v>
        <stp/>
        <stp>BDH|16333750800793602954</stp>
        <tr r="I77" s="2"/>
      </tp>
      <tp t="e">
        <v>#N/A</v>
        <stp/>
        <stp>BDH|16265860657098315852</stp>
        <tr r="I38" s="2"/>
      </tp>
      <tp t="e">
        <v>#N/A</v>
        <stp/>
        <stp>BDH|13669967274655908393</stp>
        <tr r="D21" s="4"/>
      </tp>
      <tp t="e">
        <v>#N/A</v>
        <stp/>
        <stp>BDH|17871290897506785175</stp>
        <tr r="G53" s="2"/>
      </tp>
      <tp t="e">
        <v>#N/A</v>
        <stp/>
        <stp>BDH|17594250672401217862</stp>
        <tr r="L74" s="2"/>
      </tp>
      <tp t="e">
        <v>#N/A</v>
        <stp/>
        <stp>BDH|17431924535962306463</stp>
        <tr r="H65" s="2"/>
      </tp>
      <tp t="e">
        <v>#N/A</v>
        <stp/>
        <stp>BDH|10858266695693573381</stp>
        <tr r="I39" s="4"/>
      </tp>
      <tp t="e">
        <v>#N/A</v>
        <stp/>
        <stp>BDH|11218945980989697297</stp>
        <tr r="J7" s="2"/>
      </tp>
      <tp t="e">
        <v>#N/A</v>
        <stp/>
        <stp>BDH|16249083570809481371</stp>
        <tr r="K66" s="2"/>
      </tp>
      <tp t="e">
        <v>#N/A</v>
        <stp/>
        <stp>BDH|16124653309939636234</stp>
        <tr r="G54" s="4"/>
      </tp>
      <tp t="e">
        <v>#N/A</v>
        <stp/>
        <stp>BDH|16621987703601211576</stp>
        <tr r="G25" s="4"/>
      </tp>
      <tp t="e">
        <v>#N/A</v>
        <stp/>
        <stp>BDH|15305598816268216254</stp>
        <tr r="G46" s="4"/>
      </tp>
      <tp t="e">
        <v>#N/A</v>
        <stp/>
        <stp>BDH|11033347629162207947</stp>
        <tr r="C27" s="2"/>
      </tp>
      <tp t="e">
        <v>#N/A</v>
        <stp/>
        <stp>BDH|14482270259779831184</stp>
        <tr r="D53" s="2"/>
      </tp>
      <tp t="e">
        <v>#N/A</v>
        <stp/>
        <stp>BDH|11396981441190799771</stp>
        <tr r="C68" s="2"/>
      </tp>
      <tp t="e">
        <v>#N/A</v>
        <stp/>
        <stp>BDH|12363489098620782493</stp>
        <tr r="K73" s="2"/>
      </tp>
      <tp t="e">
        <v>#N/A</v>
        <stp/>
        <stp>BDH|13954667295956646119</stp>
        <tr r="D74" s="2"/>
      </tp>
      <tp t="e">
        <v>#N/A</v>
        <stp/>
        <stp>BDH|12911515377468360312</stp>
        <tr r="L85" s="2"/>
      </tp>
      <tp t="e">
        <v>#N/A</v>
        <stp/>
        <stp>BDH|17040597699409562985</stp>
        <tr r="I40" s="2"/>
      </tp>
      <tp t="e">
        <v>#N/A</v>
        <stp/>
        <stp>BDH|18434211895151986957</stp>
        <tr r="K13" s="4"/>
      </tp>
      <tp t="e">
        <v>#N/A</v>
        <stp/>
        <stp>BDH|11382084205772458846</stp>
        <tr r="L49" s="2"/>
      </tp>
      <tp t="e">
        <v>#N/A</v>
        <stp/>
        <stp>BDH|11104307002483335931</stp>
        <tr r="D10" s="2"/>
      </tp>
      <tp t="e">
        <v>#N/A</v>
        <stp/>
        <stp>BDH|15424893318916955292</stp>
        <tr r="F78" s="2"/>
      </tp>
      <tp t="e">
        <v>#N/A</v>
        <stp/>
        <stp>BDH|12128711504004535953</stp>
        <tr r="E26" s="4"/>
      </tp>
      <tp t="e">
        <v>#N/A</v>
        <stp/>
        <stp>BDH|11168665946509647234</stp>
        <tr r="D83" s="2"/>
      </tp>
      <tp t="e">
        <v>#N/A</v>
        <stp/>
        <stp>BDH|10080510335269765779</stp>
        <tr r="J20" s="2"/>
      </tp>
      <tp t="e">
        <v>#N/A</v>
        <stp/>
        <stp>BDH|13521387583501076194</stp>
        <tr r="F12" s="4"/>
      </tp>
      <tp t="e">
        <v>#N/A</v>
        <stp/>
        <stp>BDH|14702110500699641475</stp>
        <tr r="J15" s="4"/>
      </tp>
      <tp t="e">
        <v>#N/A</v>
        <stp/>
        <stp>BDH|11979700187235082386</stp>
        <tr r="D33" s="4"/>
      </tp>
      <tp t="e">
        <v>#N/A</v>
        <stp/>
        <stp>BDH|13119891231850134010</stp>
        <tr r="I69" s="2"/>
      </tp>
      <tp t="e">
        <v>#N/A</v>
        <stp/>
        <stp>BDH|11896536390615047024</stp>
        <tr r="I54" s="4"/>
      </tp>
      <tp t="e">
        <v>#N/A</v>
        <stp/>
        <stp>BDH|14662775099101967388</stp>
        <tr r="C72" s="2"/>
      </tp>
      <tp t="e">
        <v>#N/A</v>
        <stp/>
        <stp>BDH|12640548071250914823</stp>
        <tr r="K92" s="2"/>
      </tp>
      <tp t="e">
        <v>#N/A</v>
        <stp/>
        <stp>BDH|16286793961719594677</stp>
        <tr r="L27" s="2"/>
      </tp>
      <tp t="e">
        <v>#N/A</v>
        <stp/>
        <stp>BDH|10546622885450998639</stp>
        <tr r="C16" s="2"/>
      </tp>
      <tp t="e">
        <v>#N/A</v>
        <stp/>
        <stp>BDH|14279895425913189549</stp>
        <tr r="C29" s="2"/>
      </tp>
      <tp t="e">
        <v>#N/A</v>
        <stp/>
        <stp>BDH|16432889535647777258</stp>
        <tr r="C61" s="4"/>
      </tp>
      <tp t="e">
        <v>#N/A</v>
        <stp/>
        <stp>BDH|15749895940340018140</stp>
        <tr r="J36" s="4"/>
      </tp>
      <tp t="e">
        <v>#N/A</v>
        <stp/>
        <stp>BDH|18392601616584602399</stp>
        <tr r="K39" s="4"/>
      </tp>
      <tp t="e">
        <v>#N/A</v>
        <stp/>
        <stp>BDH|17830204882545274059</stp>
        <tr r="C94" s="2"/>
      </tp>
      <tp t="e">
        <v>#N/A</v>
        <stp/>
        <stp>BDH|13783791286780033444</stp>
        <tr r="H60" s="4"/>
      </tp>
      <tp t="e">
        <v>#N/A</v>
        <stp/>
        <stp>BDH|15771809734620978660</stp>
        <tr r="E51" s="4"/>
      </tp>
      <tp t="e">
        <v>#N/A</v>
        <stp/>
        <stp>BDH|17873873576666481622</stp>
        <tr r="H74" s="2"/>
      </tp>
      <tp t="e">
        <v>#N/A</v>
        <stp/>
        <stp>BDH|12607294852654153936</stp>
        <tr r="K76" s="2"/>
      </tp>
      <tp t="e">
        <v>#N/A</v>
        <stp/>
        <stp>BDH|13791747881024899048</stp>
        <tr r="C28" s="2"/>
      </tp>
      <tp t="e">
        <v>#N/A</v>
        <stp/>
        <stp>BDH|11915255084061362257</stp>
        <tr r="D7" s="2"/>
      </tp>
      <tp t="e">
        <v>#N/A</v>
        <stp/>
        <stp>BDH|18313627021836668373</stp>
        <tr r="K67" s="2"/>
      </tp>
      <tp t="e">
        <v>#N/A</v>
        <stp/>
        <stp>BDH|10763195034243331889</stp>
        <tr r="I29" s="2"/>
      </tp>
      <tp t="e">
        <v>#N/A</v>
        <stp/>
        <stp>BDH|10048554347919640152</stp>
        <tr r="J38" s="2"/>
      </tp>
      <tp t="e">
        <v>#N/A</v>
        <stp/>
        <stp>BDH|13030190059688142601</stp>
        <tr r="C41" s="2"/>
      </tp>
      <tp t="e">
        <v>#N/A</v>
        <stp/>
        <stp>BDH|15881218789126446055</stp>
        <tr r="C62" s="2"/>
      </tp>
      <tp t="e">
        <v>#N/A</v>
        <stp/>
        <stp>BDH|15739887222985901346</stp>
        <tr r="K51" s="4"/>
      </tp>
      <tp t="e">
        <v>#N/A</v>
        <stp/>
        <stp>BDH|11134207357876220948</stp>
        <tr r="K62" s="2"/>
      </tp>
      <tp t="e">
        <v>#N/A</v>
        <stp/>
        <stp>BDH|11268758883400449735</stp>
        <tr r="G37" s="4"/>
      </tp>
      <tp t="e">
        <v>#N/A</v>
        <stp/>
        <stp>BDH|16442758195900494132</stp>
        <tr r="G9" s="2"/>
      </tp>
      <tp t="e">
        <v>#N/A</v>
        <stp/>
        <stp>BDH|14962996103141233526</stp>
        <tr r="D23" s="4"/>
      </tp>
      <tp t="e">
        <v>#N/A</v>
        <stp/>
        <stp>BDH|13711935026362316322</stp>
        <tr r="D73" s="2"/>
      </tp>
      <tp t="e">
        <v>#N/A</v>
        <stp/>
        <stp>BDH|13555275701699232138</stp>
        <tr r="J63" s="4"/>
      </tp>
      <tp t="e">
        <v>#N/A</v>
        <stp/>
        <stp>BDH|17608138722985442810</stp>
        <tr r="D43" s="4"/>
      </tp>
      <tp t="e">
        <v>#N/A</v>
        <stp/>
        <stp>BDH|10404548562068357244</stp>
        <tr r="G74" s="2"/>
      </tp>
      <tp t="e">
        <v>#N/A</v>
        <stp/>
        <stp>BDH|15214013115049037437</stp>
        <tr r="D68" s="2"/>
      </tp>
      <tp t="e">
        <v>#N/A</v>
        <stp/>
        <stp>BDH|10431167117761222824</stp>
        <tr r="H25" s="2"/>
      </tp>
      <tp t="e">
        <v>#N/A</v>
        <stp/>
        <stp>BDH|17169255723527269928</stp>
        <tr r="E25" s="4"/>
      </tp>
      <tp t="e">
        <v>#N/A</v>
        <stp/>
        <stp>BDH|14643368073200113950</stp>
        <tr r="J33" s="4"/>
      </tp>
      <tp t="e">
        <v>#N/A</v>
        <stp/>
        <stp>BDH|11919189483255624422</stp>
        <tr r="G66" s="2"/>
      </tp>
      <tp t="e">
        <v>#N/A</v>
        <stp/>
        <stp>BDH|14287490126368964320</stp>
        <tr r="E58" s="2"/>
      </tp>
      <tp t="e">
        <v>#N/A</v>
        <stp/>
        <stp>BDH|16931242811349703525</stp>
        <tr r="E77" s="2"/>
      </tp>
      <tp t="e">
        <v>#N/A</v>
        <stp/>
        <stp>BDH|14960805274562118051</stp>
        <tr r="E89" s="2"/>
      </tp>
      <tp t="e">
        <v>#N/A</v>
        <stp/>
        <stp>BDH|16822839584118671717</stp>
        <tr r="F40" s="4"/>
      </tp>
      <tp t="e">
        <v>#N/A</v>
        <stp/>
        <stp>BDH|13180116531958998001</stp>
        <tr r="G71" s="2"/>
      </tp>
      <tp t="e">
        <v>#N/A</v>
        <stp/>
        <stp>BDH|11341723755622528890</stp>
        <tr r="G26" s="4"/>
      </tp>
      <tp t="e">
        <v>#N/A</v>
        <stp/>
        <stp>BDH|10073888326750680330</stp>
        <tr r="I86" s="2"/>
      </tp>
      <tp t="e">
        <v>#N/A</v>
        <stp/>
        <stp>BDH|14433413890411873114</stp>
        <tr r="D52" s="4"/>
      </tp>
      <tp t="e">
        <v>#N/A</v>
        <stp/>
        <stp>BDH|13205071908113167924</stp>
        <tr r="H27" s="2"/>
      </tp>
      <tp t="e">
        <v>#N/A</v>
        <stp/>
        <stp>BDH|17161923810720790158</stp>
        <tr r="D63" s="2"/>
      </tp>
      <tp t="e">
        <v>#N/A</v>
        <stp/>
        <stp>BDH|14282016701942394810</stp>
        <tr r="K94" s="2"/>
      </tp>
      <tp t="e">
        <v>#N/A</v>
        <stp/>
        <stp>BDH|13072100840261796946</stp>
        <tr r="C33" s="4"/>
      </tp>
      <tp t="e">
        <v>#N/A</v>
        <stp/>
        <stp>BDH|13299243789236873147</stp>
        <tr r="K83" s="2"/>
      </tp>
      <tp t="e">
        <v>#N/A</v>
        <stp/>
        <stp>BDH|18347387108895816082</stp>
        <tr r="C93" s="2"/>
      </tp>
      <tp t="e">
        <v>#N/A</v>
        <stp/>
        <stp>BDH|18391107427692276751</stp>
        <tr r="E49" s="4"/>
      </tp>
      <tp t="e">
        <v>#N/A</v>
        <stp/>
        <stp>BDH|11542663014158380061</stp>
        <tr r="G25" s="2"/>
      </tp>
      <tp t="e">
        <v>#N/A</v>
        <stp/>
        <stp>BDH|17243000181657463657</stp>
        <tr r="C31" s="4"/>
      </tp>
      <tp t="e">
        <v>#N/A</v>
        <stp/>
        <stp>BDH|17846299791764750625</stp>
        <tr r="C69" s="2"/>
      </tp>
      <tp t="e">
        <v>#N/A</v>
        <stp/>
        <stp>BDH|15941909343845982365</stp>
        <tr r="G33" s="2"/>
      </tp>
      <tp t="e">
        <v>#N/A</v>
        <stp/>
        <stp>BDH|14043397542114618981</stp>
        <tr r="K48" s="2"/>
      </tp>
      <tp t="e">
        <v>#N/A</v>
        <stp/>
        <stp>BDH|11376056482212860595</stp>
        <tr r="E29" s="4"/>
      </tp>
      <tp t="e">
        <v>#N/A</v>
        <stp/>
        <stp>BDH|17490374292787590416</stp>
        <tr r="C62" s="4"/>
      </tp>
      <tp t="e">
        <v>#N/A</v>
        <stp/>
        <stp>BDH|12449311436785399976</stp>
        <tr r="G47" s="4"/>
      </tp>
      <tp t="e">
        <v>#N/A</v>
        <stp/>
        <stp>BDH|16835933019091700126</stp>
        <tr r="D90" s="2"/>
      </tp>
      <tp t="e">
        <v>#N/A</v>
        <stp/>
        <stp>BDH|14346917027662449367</stp>
        <tr r="J38" s="4"/>
      </tp>
      <tp t="e">
        <v>#N/A</v>
        <stp/>
        <stp>BDH|16796936762857564047</stp>
        <tr r="I79" s="2"/>
      </tp>
      <tp t="e">
        <v>#N/A</v>
        <stp/>
        <stp>BDH|14903915256777820114</stp>
        <tr r="C58" s="2"/>
      </tp>
      <tp t="e">
        <v>#N/A</v>
        <stp/>
        <stp>BDH|17817783686487999197</stp>
        <tr r="G45" s="2"/>
      </tp>
      <tp t="e">
        <v>#N/A</v>
        <stp/>
        <stp>BDH|17473915601563417367</stp>
        <tr r="J48" s="4"/>
      </tp>
      <tp t="e">
        <v>#N/A</v>
        <stp/>
        <stp>BDH|16007145087839546809</stp>
        <tr r="G62" s="4"/>
      </tp>
      <tp t="e">
        <v>#N/A</v>
        <stp/>
        <stp>BDH|11560804975067005798</stp>
        <tr r="K11" s="2"/>
      </tp>
      <tp t="e">
        <v>#N/A</v>
        <stp/>
        <stp>BDH|16241148694472317292</stp>
        <tr r="D15" s="4"/>
      </tp>
      <tp t="e">
        <v>#N/A</v>
        <stp/>
        <stp>BDH|15853601040778240125</stp>
        <tr r="J13" s="2"/>
      </tp>
      <tp t="e">
        <v>#N/A</v>
        <stp/>
        <stp>BDH|17611229561788120590</stp>
        <tr r="D48" s="4"/>
      </tp>
      <tp t="e">
        <v>#N/A</v>
        <stp/>
        <stp>BDH|13141678069678405567</stp>
        <tr r="G44" s="2"/>
      </tp>
      <tp t="e">
        <v>#N/A</v>
        <stp/>
        <stp>BDH|12809719405808770366</stp>
        <tr r="I75" s="2"/>
      </tp>
      <tp t="e">
        <v>#N/A</v>
        <stp/>
        <stp>BDH|13871612793530767210</stp>
        <tr r="G15" s="2"/>
      </tp>
      <tp t="e">
        <v>#N/A</v>
        <stp/>
        <stp>BDH|14986525209987863858</stp>
        <tr r="H35" s="4"/>
      </tp>
      <tp t="e">
        <v>#N/A</v>
        <stp/>
        <stp>BDH|10836445797945747631</stp>
        <tr r="L37" s="2"/>
      </tp>
      <tp t="e">
        <v>#N/A</v>
        <stp/>
        <stp>BDH|15884852177117472310</stp>
        <tr r="C64" s="2"/>
      </tp>
      <tp t="e">
        <v>#N/A</v>
        <stp/>
        <stp>BDH|11514808718110650648</stp>
        <tr r="J45" s="2"/>
      </tp>
      <tp t="e">
        <v>#N/A</v>
        <stp/>
        <stp>BDH|12601850703946977274</stp>
        <tr r="C15" s="2"/>
      </tp>
      <tp t="e">
        <v>#N/A</v>
        <stp/>
        <stp>BDH|16310874225482796089</stp>
        <tr r="F36" s="4"/>
      </tp>
      <tp t="e">
        <v>#N/A</v>
        <stp/>
        <stp>BDH|13582826247454369423</stp>
        <tr r="F6" s="4"/>
      </tp>
      <tp t="e">
        <v>#N/A</v>
        <stp/>
        <stp>BDH|14495327436249873296</stp>
        <tr r="G53" s="4"/>
      </tp>
      <tp t="e">
        <v>#N/A</v>
        <stp/>
        <stp>BDH|17824788094687655139</stp>
        <tr r="C50" s="2"/>
      </tp>
      <tp t="e">
        <v>#N/A</v>
        <stp/>
        <stp>BDH|14645667581741386439</stp>
        <tr r="D78" s="2"/>
      </tp>
      <tp t="e">
        <v>#N/A</v>
        <stp/>
        <stp>BDH|16243434833937708968</stp>
        <tr r="L68" s="2"/>
      </tp>
      <tp t="e">
        <v>#N/A</v>
        <stp/>
        <stp>BDH|16693810990091599901</stp>
        <tr r="H46" s="4"/>
      </tp>
      <tp t="e">
        <v>#N/A</v>
        <stp/>
        <stp>BDH|17608475794943869681</stp>
        <tr r="I65" s="4"/>
      </tp>
      <tp t="e">
        <v>#N/A</v>
        <stp/>
        <stp>BDH|16954854895851877940</stp>
        <tr r="D75" s="2"/>
      </tp>
      <tp t="e">
        <v>#N/A</v>
        <stp/>
        <stp>BDH|11574611351114741973</stp>
        <tr r="I10" s="4"/>
      </tp>
      <tp t="e">
        <v>#N/A</v>
        <stp/>
        <stp>BDH|15883379389810292110</stp>
        <tr r="I40" s="4"/>
      </tp>
      <tp t="e">
        <v>#N/A</v>
        <stp/>
        <stp>BDH|11631159996013982596</stp>
        <tr r="I61" s="4"/>
      </tp>
      <tp t="e">
        <v>#N/A</v>
        <stp/>
        <stp>BDH|17199153662826251904</stp>
        <tr r="E75" s="2"/>
      </tp>
      <tp t="e">
        <v>#N/A</v>
        <stp/>
        <stp>BDH|17037207005273314925</stp>
        <tr r="K10" s="4"/>
      </tp>
      <tp t="e">
        <v>#N/A</v>
        <stp/>
        <stp>BDH|17735513892431916591</stp>
        <tr r="I12" s="4"/>
      </tp>
      <tp t="e">
        <v>#N/A</v>
        <stp/>
        <stp>BDH|17671362193985585708</stp>
        <tr r="F66" s="4"/>
      </tp>
      <tp t="e">
        <v>#N/A</v>
        <stp/>
        <stp>BDH|10460552654367594898</stp>
        <tr r="C7" s="2"/>
      </tp>
      <tp t="e">
        <v>#N/A</v>
        <stp/>
        <stp>BDH|11381867478548026953</stp>
        <tr r="H14" s="4"/>
      </tp>
      <tp t="e">
        <v>#N/A</v>
        <stp/>
        <stp>BDH|18251333733595897225</stp>
        <tr r="F73" s="2"/>
      </tp>
      <tp t="e">
        <v>#N/A</v>
        <stp/>
        <stp>BDH|15107031972664889931</stp>
        <tr r="D60" s="4"/>
      </tp>
      <tp t="e">
        <v>#N/A</v>
        <stp/>
        <stp>BDH|15597250124573821964</stp>
        <tr r="G57" s="2"/>
      </tp>
      <tp t="e">
        <v>#N/A</v>
        <stp/>
        <stp>BDH|14662227038609580345</stp>
        <tr r="D49" s="2"/>
      </tp>
      <tp t="e">
        <v>#N/A</v>
        <stp/>
        <stp>BDH|13325157309844716948</stp>
        <tr r="C35" s="4"/>
      </tp>
      <tp t="e">
        <v>#N/A</v>
        <stp/>
        <stp>BDH|11376841019762875599</stp>
        <tr r="L25" s="2"/>
      </tp>
      <tp t="e">
        <v>#N/A</v>
        <stp/>
        <stp>BDH|17204796996580656645</stp>
        <tr r="E9" s="4"/>
      </tp>
      <tp t="e">
        <v>#N/A</v>
        <stp/>
        <stp>BDH|14147610394561945527</stp>
        <tr r="E66" s="2"/>
      </tp>
      <tp t="e">
        <v>#N/A</v>
        <stp/>
        <stp>BDH|13414925609882396720</stp>
        <tr r="G79" s="2"/>
      </tp>
      <tp t="e">
        <v>#N/A</v>
        <stp/>
        <stp>BDH|12583834110524787303</stp>
        <tr r="K31" s="4"/>
      </tp>
      <tp t="e">
        <v>#N/A</v>
        <stp/>
        <stp>BDH|12786644170976726957</stp>
        <tr r="J20" s="4"/>
      </tp>
      <tp t="e">
        <v>#N/A</v>
        <stp/>
        <stp>BDH|15299508754650354957</stp>
        <tr r="E78" s="2"/>
      </tp>
      <tp t="e">
        <v>#N/A</v>
        <stp/>
        <stp>BDH|14388531575199713307</stp>
        <tr r="J32" s="2"/>
      </tp>
      <tp t="e">
        <v>#N/A</v>
        <stp/>
        <stp>BDH|12357755177386680858</stp>
        <tr r="E92" s="2"/>
      </tp>
      <tp t="e">
        <v>#N/A</v>
        <stp/>
        <stp>BDH|11302634573768039413</stp>
        <tr r="E90" s="2"/>
      </tp>
      <tp t="e">
        <v>#N/A</v>
        <stp/>
        <stp>BDH|15866030248824115909</stp>
        <tr r="D54" s="4"/>
      </tp>
      <tp t="e">
        <v>#N/A</v>
        <stp/>
        <stp>BDH|11403525745315518942</stp>
        <tr r="H89" s="2"/>
      </tp>
      <tp t="e">
        <v>#N/A</v>
        <stp/>
        <stp>BDH|11678450434358641234</stp>
        <tr r="K49" s="2"/>
      </tp>
      <tp t="e">
        <v>#N/A</v>
        <stp/>
        <stp>BDH|12399777580424287528</stp>
        <tr r="J37" s="4"/>
      </tp>
      <tp t="e">
        <v>#N/A</v>
        <stp/>
        <stp>BDH|17212619176158919285</stp>
        <tr r="J21" s="2"/>
      </tp>
      <tp t="e">
        <v>#N/A</v>
        <stp/>
        <stp>BDH|16428221085045134562</stp>
        <tr r="L77" s="2"/>
      </tp>
      <tp t="e">
        <v>#N/A</v>
        <stp/>
        <stp>BDH|13053038462381484813</stp>
        <tr r="D64" s="4"/>
      </tp>
      <tp t="e">
        <v>#N/A</v>
        <stp/>
        <stp>BDH|13795514805958364271</stp>
        <tr r="D65" s="4"/>
      </tp>
      <tp t="e">
        <v>#N/A</v>
        <stp/>
        <stp>BDH|10627461726069183308</stp>
        <tr r="J35" s="4"/>
      </tp>
      <tp t="e">
        <v>#N/A</v>
        <stp/>
        <stp>BDH|11562055993453259779</stp>
        <tr r="K38" s="4"/>
      </tp>
      <tp t="e">
        <v>#N/A</v>
        <stp/>
        <stp>BDH|18028739043450089799</stp>
        <tr r="K7" s="4"/>
      </tp>
      <tp t="e">
        <v>#N/A</v>
        <stp/>
        <stp>BDH|15321696285474078372</stp>
        <tr r="D32" s="2"/>
      </tp>
      <tp t="e">
        <v>#N/A</v>
        <stp/>
        <stp>BDH|11257393750828592352</stp>
        <tr r="H44" s="2"/>
      </tp>
      <tp t="e">
        <v>#N/A</v>
        <stp/>
        <stp>BDH|18176802397421997453</stp>
        <tr r="C83" s="2"/>
      </tp>
      <tp t="e">
        <v>#N/A</v>
        <stp/>
        <stp>BDH|13583447998464666650</stp>
        <tr r="D61" s="2"/>
      </tp>
      <tp t="e">
        <v>#N/A</v>
        <stp/>
        <stp>BDH|16566349787806506793</stp>
        <tr r="G48" s="2"/>
      </tp>
      <tp t="e">
        <v>#N/A</v>
        <stp/>
        <stp>BDH|14672800854287888264</stp>
        <tr r="G19" s="4"/>
      </tp>
      <tp t="e">
        <v>#N/A</v>
        <stp/>
        <stp>BDH|13059293637948350619</stp>
        <tr r="J53" s="4"/>
      </tp>
      <tp t="e">
        <v>#N/A</v>
        <stp/>
        <stp>BDH|15883935237442586156</stp>
        <tr r="G16" s="2"/>
      </tp>
      <tp t="e">
        <v>#N/A</v>
        <stp/>
        <stp>BDH|14573692762930401857</stp>
        <tr r="J28" s="4"/>
      </tp>
      <tp t="e">
        <v>#N/A</v>
        <stp/>
        <stp>BDH|13632848079745696537</stp>
        <tr r="F39" s="4"/>
      </tp>
      <tp t="e">
        <v>#N/A</v>
        <stp/>
        <stp>BDH|14046434078983083850</stp>
        <tr r="J62" s="2"/>
      </tp>
      <tp t="e">
        <v>#N/A</v>
        <stp/>
        <stp>BDH|12004910587928715603</stp>
        <tr r="C79" s="2"/>
      </tp>
      <tp t="e">
        <v>#N/A</v>
        <stp/>
        <stp>BDH|15437332451347468931</stp>
        <tr r="L10" s="2"/>
      </tp>
      <tp t="e">
        <v>#N/A</v>
        <stp/>
        <stp>BDH|12768869753361237306</stp>
        <tr r="L70" s="2"/>
      </tp>
      <tp t="e">
        <v>#N/A</v>
        <stp/>
        <stp>BDH|16769180322111698981</stp>
        <tr r="L22" s="2"/>
      </tp>
      <tp t="e">
        <v>#N/A</v>
        <stp/>
        <stp>BDH|10769931967581802399</stp>
        <tr r="K72" s="2"/>
      </tp>
      <tp t="e">
        <v>#N/A</v>
        <stp/>
        <stp>BDH|13406164526478521537</stp>
        <tr r="I90" s="2"/>
      </tp>
      <tp t="e">
        <v>#N/A</v>
        <stp/>
        <stp>BDH|10502620023398605173</stp>
        <tr r="C25" s="4"/>
      </tp>
      <tp t="e">
        <v>#N/A</v>
        <stp/>
        <stp>BDH|15956980843474029174</stp>
        <tr r="D57" s="2"/>
      </tp>
      <tp t="e">
        <v>#N/A</v>
        <stp/>
        <stp>BDH|14730836566720163760</stp>
        <tr r="E70" s="2"/>
      </tp>
      <tp t="e">
        <v>#N/A</v>
        <stp/>
        <stp>BDH|17444688148218125008</stp>
        <tr r="G90" s="2"/>
      </tp>
      <tp t="e">
        <v>#N/A</v>
        <stp/>
        <stp>BDH|15413946397898385005</stp>
        <tr r="J22" s="4"/>
      </tp>
      <tp t="e">
        <v>#N/A</v>
        <stp/>
        <stp>BDH|12893085256993830997</stp>
        <tr r="H9" s="2"/>
      </tp>
      <tp t="e">
        <v>#N/A</v>
        <stp/>
        <stp>BDH|17424641891032024766</stp>
        <tr r="E33" s="2"/>
      </tp>
      <tp t="e">
        <v>#N/A</v>
        <stp/>
        <stp>BDH|14207373962105349931</stp>
        <tr r="D7" s="4"/>
      </tp>
      <tp t="e">
        <v>#N/A</v>
        <stp/>
        <stp>BDH|12684859747426028532</stp>
        <tr r="H71" s="2"/>
      </tp>
      <tp t="e">
        <v>#N/A</v>
        <stp/>
        <stp>BDH|17333822877985053019</stp>
        <tr r="J9" s="2"/>
      </tp>
      <tp t="e">
        <v>#N/A</v>
        <stp/>
        <stp>BDH|17013559672780638876</stp>
        <tr r="J31" s="2"/>
      </tp>
      <tp t="e">
        <v>#N/A</v>
        <stp/>
        <stp>BDH|17506223934833123848</stp>
        <tr r="K36" s="4"/>
      </tp>
      <tp t="e">
        <v>#N/A</v>
        <stp/>
        <stp>BDH|13810627457655535808</stp>
        <tr r="E12" s="4"/>
      </tp>
      <tp t="e">
        <v>#N/A</v>
        <stp/>
        <stp>BDH|11663274623784213887</stp>
        <tr r="D67" s="2"/>
      </tp>
      <tp t="e">
        <v>#N/A</v>
        <stp/>
        <stp>BDH|16767017892696872443</stp>
        <tr r="I14" s="4"/>
      </tp>
      <tp t="e">
        <v>#N/A</v>
        <stp/>
        <stp>BDH|16930255441744453917</stp>
        <tr r="K49" s="4"/>
      </tp>
      <tp t="e">
        <v>#N/A</v>
        <stp/>
        <stp>BDH|16914391925353822908</stp>
        <tr r="G7" s="4"/>
      </tp>
      <tp t="e">
        <v>#N/A</v>
        <stp/>
        <stp>BDH|11811185434889812718</stp>
        <tr r="G64" s="4"/>
      </tp>
      <tp t="e">
        <v>#N/A</v>
        <stp/>
        <stp>BDH|15515215614622984957</stp>
        <tr r="K23" s="2"/>
      </tp>
      <tp t="e">
        <v>#N/A</v>
        <stp/>
        <stp>BDH|12914970549561343386</stp>
        <tr r="D26" s="2"/>
      </tp>
      <tp t="e">
        <v>#N/A</v>
        <stp/>
        <stp>BDH|16175827110606777487</stp>
        <tr r="I26" s="4"/>
      </tp>
      <tp t="e">
        <v>#N/A</v>
        <stp/>
        <stp>BDH|17243783984162373724</stp>
        <tr r="C56" s="2"/>
      </tp>
      <tp t="e">
        <v>#N/A</v>
        <stp/>
        <stp>BDH|17939268859838893502</stp>
        <tr r="K58" s="4"/>
      </tp>
      <tp t="e">
        <v>#N/A</v>
        <stp/>
        <stp>BDH|13141439717554030042</stp>
        <tr r="G7" s="2"/>
      </tp>
      <tp t="e">
        <v>#N/A</v>
        <stp/>
        <stp>BDH|11747757663293204123</stp>
        <tr r="G70" s="2"/>
      </tp>
      <tp t="e">
        <v>#N/A</v>
        <stp/>
        <stp>BDH|16388327951553224121</stp>
        <tr r="H40" s="4"/>
      </tp>
      <tp t="e">
        <v>#N/A</v>
        <stp/>
        <stp>BDH|10730379518559849905</stp>
        <tr r="H13" s="2"/>
      </tp>
      <tp t="e">
        <v>#N/A</v>
        <stp/>
        <stp>BDH|15589644100035596440</stp>
        <tr r="G35" s="2"/>
      </tp>
      <tp t="e">
        <v>#N/A</v>
        <stp/>
        <stp>BDH|13693118801512364263</stp>
        <tr r="L59" s="2"/>
      </tp>
      <tp t="e">
        <v>#N/A</v>
        <stp/>
        <stp>BDH|15477981896280012790</stp>
        <tr r="D16" s="4"/>
      </tp>
      <tp t="e">
        <v>#N/A</v>
        <stp/>
        <stp>BDH|12676636534863577665</stp>
        <tr r="H94" s="2"/>
      </tp>
      <tp t="e">
        <v>#N/A</v>
        <stp/>
        <stp>BDH|10541137243872643517</stp>
        <tr r="J49" s="2"/>
      </tp>
      <tp t="e">
        <v>#N/A</v>
        <stp/>
        <stp>BDH|15322543185958511251</stp>
        <tr r="G35" s="4"/>
      </tp>
      <tp t="e">
        <v>#N/A</v>
        <stp/>
        <stp>BDH|11931905761828331492</stp>
        <tr r="L69" s="2"/>
      </tp>
      <tp t="e">
        <v>#N/A</v>
        <stp/>
        <stp>BDH|15933003467901535097</stp>
        <tr r="I85" s="2"/>
      </tp>
      <tp t="e">
        <v>#N/A</v>
        <stp/>
        <stp>BDH|10511267664417144138</stp>
        <tr r="J39" s="2"/>
      </tp>
      <tp t="e">
        <v>#N/A</v>
        <stp/>
        <stp>BDH|16615068537506333112</stp>
        <tr r="J29" s="2"/>
      </tp>
      <tp t="e">
        <v>#N/A</v>
        <stp/>
        <stp>BDH|11781262406847528670</stp>
        <tr r="H25" s="4"/>
      </tp>
      <tp t="e">
        <v>#N/A</v>
        <stp/>
        <stp>BDH|16728942991356373240</stp>
        <tr r="J47" s="2"/>
      </tp>
      <tp t="e">
        <v>#N/A</v>
        <stp/>
        <stp>BDH|10203302123800259378</stp>
        <tr r="J54" s="4"/>
      </tp>
      <tp t="e">
        <v>#N/A</v>
        <stp/>
        <stp>BDH|13613320512487953489</stp>
        <tr r="J18" s="2"/>
      </tp>
      <tp t="e">
        <v>#N/A</v>
        <stp/>
        <stp>BDH|12059268496362068976</stp>
        <tr r="I25" s="4"/>
      </tp>
      <tp t="e">
        <v>#N/A</v>
        <stp/>
        <stp>BDH|18241451617036612918</stp>
        <tr r="C39" s="2"/>
      </tp>
      <tp t="e">
        <v>#N/A</v>
        <stp/>
        <stp>BDH|12026267450390633774</stp>
        <tr r="E16" s="2"/>
      </tp>
      <tp t="e">
        <v>#N/A</v>
        <stp/>
        <stp>BDH|10292514607781606643</stp>
        <tr r="I14" s="2"/>
      </tp>
      <tp t="e">
        <v>#N/A</v>
        <stp/>
        <stp>BDH|10163724431812020445</stp>
        <tr r="L39" s="2"/>
      </tp>
      <tp t="e">
        <v>#N/A</v>
        <stp/>
        <stp>BDH|10428886766038423485</stp>
        <tr r="D29" s="2"/>
      </tp>
      <tp t="e">
        <v>#N/A</v>
        <stp/>
        <stp>BDH|13945023045484016183</stp>
        <tr r="I58" s="2"/>
      </tp>
      <tp t="e">
        <v>#N/A</v>
        <stp/>
        <stp>BDH|12220753542460219310</stp>
        <tr r="L78" s="2"/>
      </tp>
      <tp t="e">
        <v>#N/A</v>
        <stp/>
        <stp>BDH|10926049587193481969</stp>
        <tr r="H34" s="4"/>
      </tp>
      <tp t="e">
        <v>#N/A</v>
        <stp/>
        <stp>BDH|13052048946010247583</stp>
        <tr r="J67" s="2"/>
      </tp>
      <tp t="e">
        <v>#N/A</v>
        <stp/>
        <stp>BDH|12519513459030053069</stp>
        <tr r="C8" s="2"/>
      </tp>
      <tp t="e">
        <v>#N/A</v>
        <stp/>
        <stp>BDH|10635787874427119501</stp>
        <tr r="G60" s="4"/>
      </tp>
      <tp t="e">
        <v>#N/A</v>
        <stp/>
        <stp>BDH|11470453937772992652</stp>
        <tr r="H15" s="4"/>
      </tp>
      <tp t="e">
        <v>#N/A</v>
        <stp/>
        <stp>BDH|11963380729736216478</stp>
        <tr r="C40" s="4"/>
      </tp>
      <tp t="e">
        <v>#N/A</v>
        <stp/>
        <stp>BDH|10292987707029793273</stp>
        <tr r="K63" s="2"/>
      </tp>
      <tp t="e">
        <v>#N/A</v>
        <stp/>
        <stp>BDH|10275260248801484553</stp>
        <tr r="H43" s="4"/>
      </tp>
      <tp t="e">
        <v>#N/A</v>
        <stp/>
        <stp>BDH|14570864239884184979</stp>
        <tr r="K87" s="2"/>
      </tp>
      <tp t="e">
        <v>#N/A</v>
        <stp/>
        <stp>BDH|12288370859243536557</stp>
        <tr r="C21" s="4"/>
      </tp>
      <tp t="e">
        <v>#N/A</v>
        <stp/>
        <stp>BDH|14146495372110576537</stp>
        <tr r="E14" s="2"/>
      </tp>
      <tp t="e">
        <v>#N/A</v>
        <stp/>
        <stp>BDH|13107679969505266434</stp>
        <tr r="G9" s="4"/>
      </tp>
      <tp t="e">
        <v>#N/A</v>
        <stp/>
        <stp>BDH|17720436929257635452</stp>
        <tr r="D11" s="4"/>
      </tp>
      <tp t="e">
        <v>#N/A</v>
        <stp/>
        <stp>BDH|17935357307530666630</stp>
        <tr r="K38" s="2"/>
      </tp>
      <tp t="e">
        <v>#N/A</v>
        <stp/>
        <stp>BDH|13742108239563902166</stp>
        <tr r="L8" s="2"/>
      </tp>
      <tp t="e">
        <v>#N/A</v>
        <stp/>
        <stp>BDH|15901728642556093386</stp>
        <tr r="E32" s="4"/>
        <tr r="E44" s="4"/>
      </tp>
      <tp t="e">
        <v>#N/A</v>
        <stp/>
        <stp>BDH|18139081058338004600</stp>
        <tr r="G83" s="2"/>
      </tp>
      <tp t="e">
        <v>#N/A</v>
        <stp/>
        <stp>BDH|13548678722512096615</stp>
        <tr r="G88" s="2"/>
      </tp>
      <tp t="e">
        <v>#N/A</v>
        <stp/>
        <stp>BDH|15474294821086418083</stp>
        <tr r="K21" s="2"/>
      </tp>
      <tp t="e">
        <v>#N/A</v>
        <stp/>
        <stp>BDH|14176666078163619590</stp>
        <tr r="K60" s="4"/>
      </tp>
      <tp t="e">
        <v>#N/A</v>
        <stp/>
        <stp>BDH|17154735981839187225</stp>
        <tr r="C57" s="2"/>
      </tp>
      <tp t="e">
        <v>#N/A</v>
        <stp/>
        <stp>BDH|16277143194944712962</stp>
        <tr r="E88" s="2"/>
      </tp>
      <tp t="e">
        <v>#N/A</v>
        <stp/>
        <stp>BDH|10257403410787196113</stp>
        <tr r="K59" s="2"/>
      </tp>
      <tp t="e">
        <v>#N/A</v>
        <stp/>
        <stp>BDH|10636185181343573986</stp>
        <tr r="F10" s="2"/>
      </tp>
      <tp t="e">
        <v>#N/A</v>
        <stp/>
        <stp>BDH|17298103526960781762</stp>
        <tr r="H27" s="4"/>
      </tp>
      <tp t="e">
        <v>#N/A</v>
        <stp/>
        <stp>BDH|10952073755171679786</stp>
        <tr r="H6" s="4"/>
      </tp>
      <tp t="e">
        <v>#N/A</v>
        <stp/>
        <stp>BDH|16817399607734026239</stp>
        <tr r="K64" s="4"/>
      </tp>
      <tp t="e">
        <v>#N/A</v>
        <stp/>
        <stp>BDH|17121792278804797030</stp>
        <tr r="D9" s="2"/>
      </tp>
      <tp t="e">
        <v>#N/A</v>
        <stp/>
        <stp>BDH|12146874135398330279</stp>
        <tr r="C87" s="2"/>
      </tp>
      <tp t="e">
        <v>#N/A</v>
        <stp/>
        <stp>BDH|12270140336825788604</stp>
        <tr r="K27" s="2"/>
      </tp>
      <tp t="e">
        <v>#N/A</v>
        <stp/>
        <stp>BDH|12877084302470755124</stp>
        <tr r="J79" s="2"/>
      </tp>
      <tp t="e">
        <v>#N/A</v>
        <stp/>
        <stp>BDH|17054060012825244003</stp>
        <tr r="J64" s="2"/>
      </tp>
      <tp t="e">
        <v>#N/A</v>
        <stp/>
        <stp>BDH|16915068032740264695</stp>
        <tr r="J69" s="2"/>
      </tp>
      <tp t="e">
        <v>#N/A</v>
        <stp/>
        <stp>BDH|11007321767203782449</stp>
        <tr r="K57" s="2"/>
      </tp>
      <tp t="e">
        <v>#N/A</v>
        <stp/>
        <stp>BDH|16594375428704979058</stp>
        <tr r="J40" s="2"/>
      </tp>
      <tp t="e">
        <v>#N/A</v>
        <stp/>
        <stp>BDH|11862056586869578378</stp>
        <tr r="C45" s="2"/>
      </tp>
      <tp t="e">
        <v>#N/A</v>
        <stp/>
        <stp>BDH|14546256039125944388</stp>
        <tr r="F14" s="2"/>
      </tp>
      <tp t="e">
        <v>#N/A</v>
        <stp/>
        <stp>BDH|14853072445585301629</stp>
        <tr r="L83" s="2"/>
      </tp>
      <tp t="e">
        <v>#N/A</v>
        <stp/>
        <stp>BDH|17455435583318739087</stp>
        <tr r="J11" s="2"/>
      </tp>
      <tp t="e">
        <v>#N/A</v>
        <stp/>
        <stp>BDH|13735095424130229228</stp>
        <tr r="G78" s="2"/>
      </tp>
      <tp t="e">
        <v>#N/A</v>
        <stp/>
        <stp>BDH|14786778346414985059</stp>
        <tr r="K12" s="4"/>
      </tp>
      <tp t="e">
        <v>#N/A</v>
        <stp/>
        <stp>BDH|13338555990824315880</stp>
        <tr r="D58" s="4"/>
      </tp>
      <tp t="e">
        <v>#N/A</v>
        <stp/>
        <stp>BDH|16517418927396622598</stp>
        <tr r="J41" s="2"/>
      </tp>
      <tp t="e">
        <v>#N/A</v>
        <stp/>
        <stp>BDH|18128106947529803726</stp>
        <tr r="I23" s="4"/>
      </tp>
      <tp t="e">
        <v>#N/A</v>
        <stp/>
        <stp>BDH|17989041540392771256</stp>
        <tr r="I34" s="4"/>
      </tp>
      <tp t="e">
        <v>#N/A</v>
        <stp/>
        <stp>BDH|10992138112420291354</stp>
        <tr r="F89" s="2"/>
      </tp>
      <tp t="e">
        <v>#N/A</v>
        <stp/>
        <stp>BDH|16968228555745745776</stp>
        <tr r="J10" s="4"/>
      </tp>
      <tp t="e">
        <v>#N/A</v>
        <stp/>
        <stp>BDH|14919105723874744037</stp>
        <tr r="L63" s="2"/>
      </tp>
      <tp t="e">
        <v>#N/A</v>
        <stp/>
        <stp>BDH|10322003548051294677</stp>
        <tr r="K9" s="2"/>
      </tp>
      <tp t="e">
        <v>#N/A</v>
        <stp/>
        <stp>BDH|12445360065290120486</stp>
        <tr r="G22" s="4"/>
      </tp>
      <tp t="e">
        <v>#N/A</v>
        <stp/>
        <stp>BDH|16209575729364638640</stp>
        <tr r="F37" s="4"/>
      </tp>
      <tp t="e">
        <v>#N/A</v>
        <stp/>
        <stp>BDH|11925810089191533058</stp>
        <tr r="I15" s="4"/>
      </tp>
      <tp t="e">
        <v>#N/A</v>
        <stp/>
        <stp>BDH|15664877724606374970</stp>
        <tr r="C61" s="2"/>
      </tp>
      <tp t="e">
        <v>#N/A</v>
        <stp/>
        <stp>BDH|11475070403189160806</stp>
        <tr r="H73" s="2"/>
      </tp>
      <tp t="e">
        <v>#N/A</v>
        <stp/>
        <stp>BDH|13234678232952734403</stp>
        <tr r="G68" s="2"/>
      </tp>
      <tp t="e">
        <v>#N/A</v>
        <stp/>
        <stp>BDH|10458645956644351754</stp>
        <tr r="C53" s="4"/>
      </tp>
      <tp t="e">
        <v>#N/A</v>
        <stp/>
        <stp>BDH|16715906924319746471</stp>
        <tr r="D68" s="4"/>
      </tp>
      <tp t="e">
        <v>#N/A</v>
        <stp/>
        <stp>BDH|10220130792270911897</stp>
        <tr r="G27" s="4"/>
      </tp>
      <tp t="e">
        <v>#N/A</v>
        <stp/>
        <stp>BDH|17273094962021990024</stp>
        <tr r="H67" s="4"/>
      </tp>
      <tp t="e">
        <v>#N/A</v>
        <stp/>
        <stp>BDH|12334708602921576462</stp>
        <tr r="E63" s="4"/>
      </tp>
      <tp t="e">
        <v>#N/A</v>
        <stp/>
        <stp>BDH|17993478914042128095</stp>
        <tr r="C17" s="2"/>
        <tr r="B9" s="3"/>
      </tp>
      <tp t="e">
        <v>#N/A</v>
        <stp/>
        <stp>BDH|18294781896305071399</stp>
        <tr r="E33" s="4"/>
      </tp>
      <tp t="e">
        <v>#N/A</v>
        <stp/>
        <stp>BDH|10721501749901826021</stp>
        <tr r="H56" s="2"/>
      </tp>
      <tp t="e">
        <v>#N/A</v>
        <stp/>
        <stp>BDH|10840222767421835511</stp>
        <tr r="E40" s="2"/>
      </tp>
      <tp t="e">
        <v>#N/A</v>
        <stp/>
        <stp>BDH|11216434739255496388</stp>
        <tr r="D17" s="4"/>
      </tp>
      <tp t="e">
        <v>#N/A</v>
        <stp/>
        <stp>BDH|13314533626786373217</stp>
        <tr r="K35" s="4"/>
      </tp>
      <tp t="e">
        <v>#N/A</v>
        <stp/>
        <stp>BDH|15038049361142329107</stp>
        <tr r="E28" s="4"/>
      </tp>
      <tp t="e">
        <v>#N/A</v>
        <stp/>
        <stp>BDH|17570821981914938365</stp>
        <tr r="G52" s="4"/>
      </tp>
      <tp t="e">
        <v>#N/A</v>
        <stp/>
        <stp>BDH|17723728916822920332</stp>
        <tr r="D34" s="2"/>
      </tp>
      <tp t="e">
        <v>#N/A</v>
        <stp/>
        <stp>BDH|16960290607987877368</stp>
        <tr r="E49" s="2"/>
      </tp>
      <tp t="e">
        <v>#N/A</v>
        <stp/>
        <stp>BDH|12025697966693215142</stp>
        <tr r="H75" s="2"/>
      </tp>
      <tp t="e">
        <v>#N/A</v>
        <stp/>
        <stp>BDH|14492878445239641190</stp>
        <tr r="F54" s="4"/>
      </tp>
      <tp t="e">
        <v>#N/A</v>
        <stp/>
        <stp>BDH|12733093903527312570</stp>
        <tr r="E54" s="4"/>
      </tp>
      <tp t="e">
        <v>#N/A</v>
        <stp/>
        <stp>BDH|16990617470186079103</stp>
        <tr r="I59" s="2"/>
      </tp>
      <tp t="e">
        <v>#N/A</v>
        <stp/>
        <stp>BDH|13415290257657324313</stp>
        <tr r="L28" s="2"/>
      </tp>
      <tp t="e">
        <v>#N/A</v>
        <stp/>
        <stp>BDH|10472093366167547164</stp>
        <tr r="H15" s="2"/>
      </tp>
      <tp t="e">
        <v>#N/A</v>
        <stp/>
        <stp>BDH|10274625966435940576</stp>
        <tr r="I36" s="2"/>
      </tp>
      <tp t="e">
        <v>#N/A</v>
        <stp/>
        <stp>BDH|13047195910103711052</stp>
        <tr r="K78" s="2"/>
      </tp>
      <tp t="e">
        <v>#N/A</v>
        <stp/>
        <stp>BDH|15721163178133113031</stp>
        <tr r="L46" s="2"/>
      </tp>
      <tp t="e">
        <v>#N/A</v>
        <stp/>
        <stp>BDH|15852319116940614736</stp>
        <tr r="G62" s="2"/>
      </tp>
      <tp t="e">
        <v>#N/A</v>
        <stp/>
        <stp>BDH|12314669517617729280</stp>
        <tr r="K40" s="4"/>
      </tp>
      <tp t="e">
        <v>#N/A</v>
        <stp/>
        <stp>BDH|10925439677304987794</stp>
        <tr r="D28" s="4"/>
      </tp>
      <tp t="e">
        <v>#N/A</v>
        <stp/>
        <stp>BDH|16495775645411376492</stp>
        <tr r="I19" s="4"/>
      </tp>
      <tp t="e">
        <v>#N/A</v>
        <stp/>
        <stp>BDH|14367192653644225476</stp>
        <tr r="C75" s="2"/>
      </tp>
      <tp t="e">
        <v>#N/A</v>
        <stp/>
        <stp>BDH|11290399611566281548</stp>
        <tr r="D56" s="2"/>
      </tp>
      <tp t="e">
        <v>#N/A</v>
        <stp/>
        <stp>BDH|17171636641596432389</stp>
        <tr r="K90" s="2"/>
      </tp>
      <tp t="e">
        <v>#N/A</v>
        <stp/>
        <stp>BDH|11177221940710548785</stp>
        <tr r="I49" s="4"/>
      </tp>
      <tp t="e">
        <v>#N/A</v>
        <stp/>
        <stp>BDH|11423660177965609429</stp>
        <tr r="F22" s="4"/>
      </tp>
      <tp t="e">
        <v>#N/A</v>
        <stp/>
        <stp>BDH|17679401271361201440</stp>
        <tr r="F17" s="4"/>
      </tp>
      <tp t="e">
        <v>#N/A</v>
        <stp/>
        <stp>BDH|13535851833600085934</stp>
        <tr r="K29" s="4"/>
      </tp>
      <tp t="e">
        <v>#N/A</v>
        <stp/>
        <stp>BDH|18300188781803813324</stp>
        <tr r="G14" s="2"/>
      </tp>
      <tp t="e">
        <v>#N/A</v>
        <stp/>
        <stp>BDH|14123085428252574547</stp>
        <tr r="K8" s="2"/>
      </tp>
      <tp t="e">
        <v>#N/A</v>
        <stp/>
        <stp>BDH|12951738539496626160</stp>
        <tr r="C51" s="2"/>
      </tp>
      <tp t="e">
        <v>#N/A</v>
        <stp/>
        <stp>BDH|13578247977993614430</stp>
        <tr r="H41" s="2"/>
      </tp>
      <tp t="e">
        <v>#N/A</v>
        <stp/>
        <stp>BDH|15209333268702929335</stp>
        <tr r="G65" s="4"/>
      </tp>
      <tp t="e">
        <v>#N/A</v>
        <stp/>
        <stp>BDH|16611594118422519112</stp>
        <tr r="C54" s="4"/>
      </tp>
      <tp t="e">
        <v>#N/A</v>
        <stp/>
        <stp>BDH|13711666573197200436</stp>
        <tr r="J66" s="4"/>
      </tp>
      <tp t="e">
        <v>#N/A</v>
        <stp/>
        <stp>BDH|12001717185169787517</stp>
        <tr r="I33" s="4"/>
      </tp>
      <tp t="e">
        <v>#N/A</v>
        <stp/>
        <stp>BDH|14615963645111539921</stp>
        <tr r="C25" s="2"/>
      </tp>
      <tp t="e">
        <v>#N/A</v>
        <stp/>
        <stp>BDH|11906320738217579743</stp>
        <tr r="C84" s="2"/>
      </tp>
      <tp t="e">
        <v>#N/A</v>
        <stp/>
        <stp>BDH|14774416122405160676</stp>
        <tr r="J55" s="2"/>
      </tp>
      <tp t="e">
        <v>#N/A</v>
        <stp/>
        <stp>BDH|11984860562169064780</stp>
        <tr r="J64" s="4"/>
      </tp>
      <tp t="e">
        <v>#N/A</v>
        <stp/>
        <stp>BDH|11795838501029894184</stp>
        <tr r="J91" s="2"/>
      </tp>
      <tp t="e">
        <v>#N/A</v>
        <stp/>
        <stp>BDH|15716170214326163203</stp>
        <tr r="J21" s="4"/>
      </tp>
      <tp t="e">
        <v>#N/A</v>
        <stp/>
        <stp>BDH|17065498313206935576</stp>
        <tr r="K17" s="4"/>
      </tp>
      <tp t="e">
        <v>#N/A</v>
        <stp/>
        <stp>BDH|15537762381729292242</stp>
        <tr r="I53" s="4"/>
      </tp>
      <tp t="e">
        <v>#N/A</v>
        <stp/>
        <stp>BDH|11668931441128370530</stp>
        <tr r="K24" s="4"/>
      </tp>
      <tp t="e">
        <v>#N/A</v>
        <stp/>
        <stp>BDH|15631178021730037748</stp>
        <tr r="F47" s="4"/>
      </tp>
      <tp t="e">
        <v>#N/A</v>
        <stp/>
        <stp>BDH|11094047855273414629</stp>
        <tr r="K23" s="4"/>
      </tp>
      <tp t="e">
        <v>#N/A</v>
        <stp/>
        <stp>BDH|11874564958845821580</stp>
        <tr r="H78" s="2"/>
      </tp>
      <tp t="e">
        <v>#N/A</v>
        <stp/>
        <stp>BDH|12397179122009340930</stp>
        <tr r="K71" s="2"/>
      </tp>
      <tp t="e">
        <v>#N/A</v>
        <stp/>
        <stp>BDH|16784562878616188319</stp>
        <tr r="F44" s="2"/>
      </tp>
      <tp t="e">
        <v>#N/A</v>
        <stp/>
        <stp>BDH|16543576547781898749</stp>
        <tr r="F68" s="2"/>
      </tp>
      <tp t="e">
        <v>#N/A</v>
        <stp/>
        <stp>BDH|15333122978540435258</stp>
        <tr r="J37" s="2"/>
      </tp>
      <tp t="e">
        <v>#N/A</v>
        <stp/>
        <stp>BDH|18401648901089266689</stp>
        <tr r="J31" s="4"/>
      </tp>
      <tp t="e">
        <v>#N/A</v>
        <stp/>
        <stp>BDH|10997556603377580310</stp>
        <tr r="J70" s="2"/>
      </tp>
      <tp t="e">
        <v>#N/A</v>
        <stp/>
        <stp>BDH|14307933920918261686</stp>
        <tr r="E83" s="2"/>
      </tp>
      <tp t="e">
        <v>#N/A</v>
        <stp/>
        <stp>BDH|18044939613687233684</stp>
        <tr r="J66" s="2"/>
      </tp>
      <tp t="e">
        <v>#N/A</v>
        <stp/>
        <stp>BDH|16647174047894529696</stp>
        <tr r="K68" s="2"/>
      </tp>
      <tp t="e">
        <v>#N/A</v>
        <stp/>
        <stp>BDH|12535728727712884427</stp>
        <tr r="K53" s="2"/>
      </tp>
      <tp t="e">
        <v>#N/A</v>
        <stp/>
        <stp>BDH|12256184112311540275</stp>
        <tr r="H39" s="4"/>
      </tp>
      <tp t="e">
        <v>#N/A</v>
        <stp/>
        <stp>BDH|17261708139912234033</stp>
        <tr r="D70" s="2"/>
      </tp>
      <tp t="e">
        <v>#N/A</v>
        <stp/>
        <stp>BDH|16658369860177689590</stp>
        <tr r="C18" s="4"/>
      </tp>
      <tp t="e">
        <v>#N/A</v>
        <stp/>
        <stp>BDH|14870587409189312949</stp>
        <tr r="I25" s="2"/>
      </tp>
      <tp t="e">
        <v>#N/A</v>
        <stp/>
        <stp>BDH|10569544606730078495</stp>
        <tr r="J42" s="4"/>
      </tp>
      <tp t="e">
        <v>#N/A</v>
        <stp/>
        <stp>BDH|14238260398788301612</stp>
        <tr r="K84" s="2"/>
      </tp>
      <tp t="e">
        <v>#N/A</v>
        <stp/>
        <stp>BDH|13435952061054624986</stp>
        <tr r="D44" s="2"/>
      </tp>
      <tp t="e">
        <v>#N/A</v>
        <stp/>
        <stp>BDH|14182838306862272874</stp>
        <tr r="G20" s="4"/>
      </tp>
      <tp t="e">
        <v>#N/A</v>
        <stp/>
        <stp>BDH|18382530292185629756</stp>
        <tr r="I30" s="2"/>
      </tp>
      <tp t="e">
        <v>#N/A</v>
        <stp/>
        <stp>BDH|13474924056838434155</stp>
        <tr r="K28" s="4"/>
      </tp>
      <tp t="e">
        <v>#N/A</v>
        <stp/>
        <stp>BDH|16636110276244954298</stp>
        <tr r="J13" s="4"/>
      </tp>
      <tp t="e">
        <v>#N/A</v>
        <stp/>
        <stp>BDH|14620542619186879024</stp>
        <tr r="K20" s="2"/>
      </tp>
      <tp t="e">
        <v>#N/A</v>
        <stp/>
        <stp>BDH|10965598306191039261</stp>
        <tr r="F27" s="4"/>
      </tp>
      <tp t="e">
        <v>#N/A</v>
        <stp/>
        <stp>BDH|12211071122952299462</stp>
        <tr r="E61" s="2"/>
      </tp>
      <tp t="e">
        <v>#N/A</v>
        <stp/>
        <stp>BDH|16690156701939161800</stp>
        <tr r="F84" s="2"/>
      </tp>
      <tp t="e">
        <v>#N/A</v>
        <stp/>
        <stp>BDH|16115136536041324350</stp>
        <tr r="J32" s="4"/>
        <tr r="J44" s="4"/>
      </tp>
      <tp t="e">
        <v>#N/A</v>
        <stp/>
        <stp>BDH|14837954579849236535</stp>
        <tr r="G84" s="2"/>
      </tp>
      <tp t="e">
        <v>#N/A</v>
        <stp/>
        <stp>BDH|16764965416188288007</stp>
        <tr r="K65" s="4"/>
      </tp>
      <tp t="e">
        <v>#N/A</v>
        <stp/>
        <stp>BDH|11789143833227322268</stp>
        <tr r="C23" s="4"/>
      </tp>
      <tp t="e">
        <v>#N/A</v>
        <stp/>
        <stp>BDH|15433641214116838291</stp>
        <tr r="J52" s="2"/>
      </tp>
      <tp t="e">
        <v>#N/A</v>
        <stp/>
        <stp>BDH|12256677552424058339</stp>
        <tr r="E23" s="4"/>
      </tp>
      <tp t="e">
        <v>#N/A</v>
        <stp/>
        <stp>BDH|17442927286853294368</stp>
        <tr r="L41" s="2"/>
      </tp>
      <tp t="e">
        <v>#N/A</v>
        <stp/>
        <stp>BDH|14003715545130605169</stp>
        <tr r="I20" s="4"/>
      </tp>
      <tp t="e">
        <v>#N/A</v>
        <stp/>
        <stp>BDH|15427593903457979130</stp>
        <tr r="E53" s="2"/>
      </tp>
      <tp t="e">
        <v>#N/A</v>
        <stp/>
        <stp>BDH|11773517333347699641</stp>
        <tr r="F11" s="2"/>
      </tp>
      <tp t="e">
        <v>#N/A</v>
        <stp/>
        <stp>BDH|15576028424775347474</stp>
        <tr r="F34" s="4"/>
      </tp>
      <tp t="e">
        <v>#N/A</v>
        <stp/>
        <stp>BDH|14060747936367258178</stp>
        <tr r="K41" s="2"/>
      </tp>
      <tp t="e">
        <v>#N/A</v>
        <stp/>
        <stp>BDH|10429104512870961689</stp>
        <tr r="H29" s="4"/>
      </tp>
      <tp t="e">
        <v>#N/A</v>
        <stp/>
        <stp>BDH|14500717414016653209</stp>
        <tr r="I6" s="4"/>
      </tp>
      <tp t="e">
        <v>#N/A</v>
        <stp/>
        <stp>BDH|15481026236536434627</stp>
        <tr r="F74" s="2"/>
      </tp>
      <tp t="e">
        <v>#N/A</v>
        <stp/>
        <stp>BDH|10879424014851506222</stp>
        <tr r="C18" s="2"/>
      </tp>
      <tp t="e">
        <v>#N/A</v>
        <stp/>
        <stp>BDH|16174493901707732373</stp>
        <tr r="D25" s="2"/>
      </tp>
      <tp t="e">
        <v>#N/A</v>
        <stp/>
        <stp>BDH|14833445675578673966</stp>
        <tr r="J83" s="2"/>
      </tp>
      <tp t="e">
        <v>#N/A</v>
        <stp/>
        <stp>BDH|10993609513364120535</stp>
        <tr r="H29" s="2"/>
      </tp>
      <tp t="e">
        <v>#N/A</v>
        <stp/>
        <stp>BDH|15843138520068858881</stp>
        <tr r="C74" s="2"/>
      </tp>
      <tp t="e">
        <v>#N/A</v>
        <stp/>
        <stp>BDH|12593854999020436561</stp>
        <tr r="E52" s="4"/>
      </tp>
      <tp t="e">
        <v>#N/A</v>
        <stp/>
        <stp>BDH|13989572307664146434</stp>
        <tr r="F62" s="4"/>
      </tp>
      <tp t="e">
        <v>#N/A</v>
        <stp/>
        <stp>BDH|10383782861366556157</stp>
        <tr r="E69" s="2"/>
      </tp>
      <tp t="e">
        <v>#N/A</v>
        <stp/>
        <stp>BDH|16280862605889934128</stp>
        <tr r="L87" s="2"/>
      </tp>
      <tp t="e">
        <v>#N/A</v>
        <stp/>
        <stp>BDH|10631447034428809948</stp>
        <tr r="E40" s="4"/>
      </tp>
      <tp t="e">
        <v>#N/A</v>
        <stp/>
        <stp>BDH|17840610152833176104</stp>
        <tr r="I84" s="2"/>
      </tp>
      <tp t="e">
        <v>#N/A</v>
        <stp/>
        <stp>BDH|17493686950461099361</stp>
        <tr r="J15" s="2"/>
      </tp>
      <tp t="e">
        <v>#N/A</v>
        <stp/>
        <stp>BDH|12998567756223224719</stp>
        <tr r="E7" s="4"/>
      </tp>
      <tp t="e">
        <v>#N/A</v>
        <stp/>
        <stp>BDH|17021639915475274391</stp>
        <tr r="C63" s="2"/>
      </tp>
      <tp t="e">
        <v>#N/A</v>
        <stp/>
        <stp>BDH|16850605775700006110</stp>
        <tr r="I23" s="2"/>
      </tp>
      <tp t="e">
        <v>#N/A</v>
        <stp/>
        <stp>BDH|14641773117627363393</stp>
        <tr r="E91" s="2"/>
      </tp>
      <tp t="e">
        <v>#N/A</v>
        <stp/>
        <stp>BDH|13334198454325870497</stp>
        <tr r="D19" s="4"/>
      </tp>
      <tp t="e">
        <v>#N/A</v>
        <stp/>
        <stp>BDH|15290674525627900065</stp>
        <tr r="C15" s="4"/>
      </tp>
      <tp t="e">
        <v>#N/A</v>
        <stp/>
        <stp>BDH|14905414976641871093</stp>
        <tr r="D71" s="2"/>
      </tp>
      <tp t="e">
        <v>#N/A</v>
        <stp/>
        <stp>BDH|12611049863020630294</stp>
        <tr r="K14" s="4"/>
      </tp>
      <tp t="e">
        <v>#N/A</v>
        <stp/>
        <stp>BDH|11345287501975556018</stp>
        <tr r="H92" s="2"/>
      </tp>
      <tp t="e">
        <v>#N/A</v>
        <stp/>
        <stp>BDH|13311689219261290211</stp>
        <tr r="H7" s="2"/>
      </tp>
      <tp t="e">
        <v>#N/A</v>
        <stp/>
        <stp>BDH|17922490429172831400</stp>
        <tr r="C17" s="4"/>
      </tp>
      <tp t="e">
        <v>#N/A</v>
        <stp/>
        <stp>BDH|15235452274720142137</stp>
        <tr r="D24" s="4"/>
      </tp>
      <tp t="e">
        <v>#N/A</v>
        <stp/>
        <stp>BDH|12833753540422802453</stp>
        <tr r="F60" s="4"/>
      </tp>
      <tp t="e">
        <v>#N/A</v>
        <stp/>
        <stp>BDH|14221553520522267660</stp>
        <tr r="E20" s="4"/>
      </tp>
      <tp t="e">
        <v>#N/A</v>
        <stp/>
        <stp>BDH|15852643742804940450</stp>
        <tr r="G51" s="4"/>
      </tp>
      <tp t="e">
        <v>#N/A</v>
        <stp/>
        <stp>BDH|14091261210370677026</stp>
        <tr r="L20" s="2"/>
      </tp>
      <tp t="e">
        <v>#N/A</v>
        <stp/>
        <stp>BDH|13950873775523129888</stp>
        <tr r="G16" s="4"/>
      </tp>
      <tp t="e">
        <v>#N/A</v>
        <stp/>
        <stp>BDH|14919602424714634399</stp>
        <tr r="F77" s="2"/>
      </tp>
      <tp t="e">
        <v>#N/A</v>
        <stp/>
        <stp>BDH|10971091905586571127</stp>
        <tr r="E87" s="2"/>
      </tp>
      <tp t="e">
        <v>#N/A</v>
        <stp/>
        <stp>BDH|12195352349842198091</stp>
        <tr r="G44" s="4"/>
        <tr r="G32" s="4"/>
      </tp>
      <tp t="e">
        <v>#N/A</v>
        <stp/>
        <stp>BDH|14650640252068765825</stp>
        <tr r="C60" s="4"/>
      </tp>
      <tp t="e">
        <v>#N/A</v>
        <stp/>
        <stp>BDH|17796183723281958210</stp>
        <tr r="H76" s="2"/>
      </tp>
      <tp t="e">
        <v>#N/A</v>
        <stp/>
        <stp>BDH|16401072987209550056</stp>
        <tr r="J85" s="2"/>
      </tp>
      <tp t="e">
        <v>#N/A</v>
        <stp/>
        <stp>BDH|17547362170504039049</stp>
        <tr r="H77" s="2"/>
      </tp>
      <tp t="e">
        <v>#N/A</v>
        <stp/>
        <stp>BDH|15946643256908439995</stp>
        <tr r="J16" s="4"/>
      </tp>
      <tp t="e">
        <v>#N/A</v>
        <stp/>
        <stp>BDH|11054311212871354564</stp>
        <tr r="G12" s="4"/>
      </tp>
      <tp t="e">
        <v>#N/A</v>
        <stp/>
        <stp>BDH|12214260513424274231</stp>
        <tr r="E8" s="4"/>
      </tp>
      <tp t="e">
        <v>#N/A</v>
        <stp/>
        <stp>BDH|10757016549442450129</stp>
        <tr r="I37" s="2"/>
      </tp>
      <tp t="e">
        <v>#N/A</v>
        <stp/>
        <stp>BDH|10335037958615591741</stp>
        <tr r="D51" s="2"/>
      </tp>
      <tp t="e">
        <v>#N/A</v>
        <stp/>
        <stp>BDH|14694922319253303873</stp>
        <tr r="L55" s="2"/>
      </tp>
      <tp t="e">
        <v>#N/A</v>
        <stp/>
        <stp>BDH|11435391051423331363</stp>
        <tr r="J34" s="2"/>
      </tp>
      <tp t="e">
        <v>#N/A</v>
        <stp/>
        <stp>BDH|11279268017121926421</stp>
        <tr r="F70" s="2"/>
      </tp>
      <tp t="e">
        <v>#N/A</v>
        <stp/>
        <stp>BDH|15478104442664848360</stp>
        <tr r="E71" s="2"/>
      </tp>
      <tp t="e">
        <v>#N/A</v>
        <stp/>
        <stp>BDH|10574781370433535406</stp>
        <tr r="L65" s="2"/>
      </tp>
      <tp t="e">
        <v>#N/A</v>
        <stp/>
        <stp>BDH|16694276252786070087</stp>
        <tr r="H45" s="2"/>
      </tp>
      <tp t="e">
        <v>#N/A</v>
        <stp/>
        <stp>BDH|17321620839780641550</stp>
        <tr r="E29" s="2"/>
      </tp>
      <tp t="e">
        <v>#N/A</v>
        <stp/>
        <stp>BDH|15239786076471153362</stp>
        <tr r="I45" s="2"/>
      </tp>
      <tp t="e">
        <v>#N/A</v>
        <stp/>
        <stp>BDH|11924417106880602224</stp>
        <tr r="L52" s="2"/>
      </tp>
      <tp t="e">
        <v>#N/A</v>
        <stp/>
        <stp>BDH|14575425910030214689</stp>
        <tr r="F15" s="4"/>
      </tp>
      <tp t="e">
        <v>#N/A</v>
        <stp/>
        <stp>BDH|11565947216329929739</stp>
        <tr r="J61" s="4"/>
      </tp>
      <tp t="e">
        <v>#N/A</v>
        <stp/>
        <stp>BDH|17624051062001815740</stp>
        <tr r="H93" s="2"/>
      </tp>
      <tp t="e">
        <v>#N/A</v>
        <stp/>
        <stp>BDH|13305692025695118532</stp>
        <tr r="D65" s="2"/>
      </tp>
      <tp t="e">
        <v>#N/A</v>
        <stp/>
        <stp>BDH|13603666834352979318</stp>
        <tr r="K15" s="4"/>
      </tp>
      <tp t="e">
        <v>#N/A</v>
        <stp/>
        <stp>BDH|10898717931023284068</stp>
        <tr r="J94" s="2"/>
      </tp>
      <tp t="e">
        <v>#N/A</v>
        <stp/>
        <stp>BDH|17444377839107227742</stp>
        <tr r="J11" s="4"/>
      </tp>
      <tp t="e">
        <v>#N/A</v>
        <stp/>
        <stp>BDH|10860171990368591756</stp>
        <tr r="E14" s="4"/>
      </tp>
      <tp t="e">
        <v>#N/A</v>
        <stp/>
        <stp>BDH|14147692424282511568</stp>
        <tr r="F92" s="2"/>
      </tp>
      <tp t="e">
        <v>#N/A</v>
        <stp/>
        <stp>BDH|10880511537428585949</stp>
        <tr r="C35" s="2"/>
      </tp>
      <tp t="e">
        <v>#N/A</v>
        <stp/>
        <stp>BDH|12789913566862831873</stp>
        <tr r="G31" s="4"/>
      </tp>
      <tp t="e">
        <v>#N/A</v>
        <stp/>
        <stp>BDH|17683451149137588713</stp>
        <tr r="L61" s="2"/>
      </tp>
      <tp t="e">
        <v>#N/A</v>
        <stp/>
        <stp>BDH|16127657821127261294</stp>
        <tr r="L38" s="2"/>
      </tp>
      <tp t="e">
        <v>#N/A</v>
        <stp/>
        <stp>BDH|17353731130462711694</stp>
        <tr r="F11" s="4"/>
      </tp>
      <tp t="e">
        <v>#N/A</v>
        <stp/>
        <stp>BDH|16684706515286488190</stp>
        <tr r="H62" s="4"/>
      </tp>
      <tp t="e">
        <v>#N/A</v>
        <stp/>
        <stp>BDH|12680166568298198985</stp>
        <tr r="G63" s="4"/>
      </tp>
      <tp t="e">
        <v>#N/A</v>
        <stp/>
        <stp>BDH|11411975336317583805</stp>
        <tr r="F48" s="2"/>
      </tp>
      <tp t="e">
        <v>#N/A</v>
        <stp/>
        <stp>BDH|11479559654443248676</stp>
        <tr r="H21" s="4"/>
      </tp>
      <tp t="e">
        <v>#N/A</v>
        <stp/>
        <stp>BDH|14443040932743572075</stp>
        <tr r="I63" s="2"/>
      </tp>
      <tp t="e">
        <v>#N/A</v>
        <stp/>
        <stp>BDH|15873766352500475387</stp>
        <tr r="C26" s="2"/>
      </tp>
      <tp t="e">
        <v>#N/A</v>
        <stp/>
        <stp>BDH|14771715090956225866</stp>
        <tr r="G6" s="4"/>
      </tp>
      <tp t="e">
        <v>#N/A</v>
        <stp/>
        <stp>BDH|13416813551868295240</stp>
        <tr r="I76" s="2"/>
      </tp>
      <tp t="e">
        <v>#N/A</v>
        <stp/>
        <stp>BDH|16857558567812126392</stp>
        <tr r="F20" s="4"/>
      </tp>
      <tp t="e">
        <v>#N/A</v>
        <stp/>
        <stp>BDH|16759335104660398160</stp>
        <tr r="L18" s="2"/>
      </tp>
      <tp t="e">
        <v>#N/A</v>
        <stp/>
        <stp>BDH|12132375742774354537</stp>
        <tr r="D12" s="4"/>
      </tp>
      <tp t="e">
        <v>#N/A</v>
        <stp/>
        <stp>BDH|17976498261451456018</stp>
        <tr r="J35" s="2"/>
      </tp>
      <tp t="e">
        <v>#N/A</v>
        <stp/>
        <stp>BDH|15730512845022113265</stp>
        <tr r="H36" s="4"/>
      </tp>
      <tp t="e">
        <v>#N/A</v>
        <stp/>
        <stp>BDH|15544650811550752617</stp>
        <tr r="I56" s="2"/>
      </tp>
      <tp t="e">
        <v>#N/A</v>
        <stp/>
        <stp>BDH|10651353666009251800</stp>
        <tr r="H58" s="2"/>
      </tp>
      <tp t="e">
        <v>#N/A</v>
        <stp/>
        <stp>BDH|16450550410060454622</stp>
        <tr r="F93" s="2"/>
      </tp>
      <tp t="e">
        <v>#N/A</v>
        <stp/>
        <stp>BDH|11123730872546227353</stp>
        <tr r="G87" s="2"/>
      </tp>
      <tp t="e">
        <v>#N/A</v>
        <stp/>
        <stp>BDH|11056164816634436132</stp>
        <tr r="G48" s="4"/>
      </tp>
      <tp t="e">
        <v>#N/A</v>
        <stp/>
        <stp>BDH|14597700979029900933</stp>
        <tr r="C36" s="4"/>
      </tp>
      <tp t="e">
        <v>#N/A</v>
        <stp/>
        <stp>BDH|17334688015011132590</stp>
        <tr r="F45" s="2"/>
      </tp>
      <tp t="e">
        <v>#N/A</v>
        <stp/>
        <stp>BDH|10251408945313609772</stp>
        <tr r="G59" s="4"/>
      </tp>
      <tp t="e">
        <v>#N/A</v>
        <stp/>
        <stp>BDH|16723952482604365753</stp>
        <tr r="L7" s="2"/>
      </tp>
      <tp t="e">
        <v>#N/A</v>
        <stp/>
        <stp>BDH|12370649626386851418</stp>
        <tr r="D18" s="4"/>
      </tp>
      <tp t="e">
        <v>#N/A</v>
        <stp/>
        <stp>BDH|12029727669334464340</stp>
        <tr r="F86" s="2"/>
      </tp>
      <tp t="e">
        <v>#N/A</v>
        <stp/>
        <stp>BDH|15379493274747486501</stp>
        <tr r="I9" s="2"/>
      </tp>
      <tp t="e">
        <v>#N/A</v>
        <stp/>
        <stp>BDH|15089188402255145519</stp>
        <tr r="J59" s="2"/>
      </tp>
      <tp t="e">
        <v>#N/A</v>
        <stp/>
        <stp>BDH|10758924543229960057</stp>
        <tr r="C49" s="2"/>
      </tp>
      <tp t="e">
        <v>#N/A</v>
        <stp/>
        <stp>BDH|11854427300558786905</stp>
        <tr r="F59" s="4"/>
      </tp>
      <tp t="e">
        <v>#N/A</v>
        <stp/>
        <stp>BDH|14095087959304469183</stp>
        <tr r="H79" s="2"/>
      </tp>
      <tp t="e">
        <v>#N/A</v>
        <stp/>
        <stp>BDH|12918713104315841487</stp>
        <tr r="K30" s="2"/>
      </tp>
      <tp t="e">
        <v>#N/A</v>
        <stp/>
        <stp>BDH|13418500191723988809</stp>
        <tr r="D28" s="2"/>
      </tp>
      <tp t="e">
        <v>#N/A</v>
        <stp/>
        <stp>BDH|10001470628365303706</stp>
        <tr r="K9" s="4"/>
      </tp>
      <tp t="e">
        <v>#N/A</v>
        <stp/>
        <stp>BDH|12047991383686509137</stp>
        <tr r="D51" s="4"/>
      </tp>
      <tp t="e">
        <v>#N/A</v>
        <stp/>
        <stp>BDH|15733771612740774796</stp>
        <tr r="J65" s="4"/>
      </tp>
      <tp t="e">
        <v>#N/A</v>
        <stp/>
        <stp>BDH|10436800501125976936</stp>
        <tr r="D66" s="2"/>
      </tp>
      <tp t="e">
        <v>#N/A</v>
        <stp/>
        <stp>BDH|11061127462647733587</stp>
        <tr r="E36" s="4"/>
      </tp>
      <tp t="e">
        <v>#N/A</v>
        <stp/>
        <stp>BDH|12370596624019026814</stp>
        <tr r="J44" s="2"/>
      </tp>
      <tp t="e">
        <v>#N/A</v>
        <stp/>
        <stp>BDH|13419029176113741390</stp>
        <tr r="F76" s="2"/>
      </tp>
      <tp t="e">
        <v>#N/A</v>
        <stp/>
        <stp>BDH|13836673930687088512</stp>
        <tr r="L53" s="2"/>
      </tp>
      <tp t="e">
        <v>#N/A</v>
        <stp/>
        <stp>BDH|16697988161654520945</stp>
        <tr r="C78" s="2"/>
      </tp>
      <tp t="e">
        <v>#N/A</v>
        <stp/>
        <stp>BDH|11573774247213249593</stp>
        <tr r="K16" s="4"/>
      </tp>
      <tp t="e">
        <v>#N/A</v>
        <stp/>
        <stp>BDH|14977296762797958356</stp>
        <tr r="E62" s="4"/>
      </tp>
      <tp t="e">
        <v>#N/A</v>
        <stp/>
        <stp>BDH|15580882876579853621</stp>
        <tr r="C67" s="2"/>
      </tp>
      <tp t="e">
        <v>#N/A</v>
        <stp/>
        <stp>BDH|15120157230870781227</stp>
        <tr r="E42" s="4"/>
      </tp>
      <tp t="e">
        <v>#N/A</v>
        <stp/>
        <stp>BDH|14370365425767713760</stp>
        <tr r="C52" s="4"/>
      </tp>
      <tp t="e">
        <v>#N/A</v>
        <stp/>
        <stp>BDH|16885494543493287002</stp>
        <tr r="G76" s="2"/>
      </tp>
      <tp t="e">
        <v>#N/A</v>
        <stp/>
        <stp>BDH|17029800392430412363</stp>
        <tr r="F91" s="2"/>
      </tp>
      <tp t="e">
        <v>#N/A</v>
        <stp/>
        <stp>BDH|15736100810716181655</stp>
        <tr r="J7" s="4"/>
      </tp>
      <tp t="e">
        <v>#N/A</v>
        <stp/>
        <stp>BDH|16930349546910957418</stp>
        <tr r="I18" s="2"/>
      </tp>
      <tp t="e">
        <v>#N/A</v>
        <stp/>
        <stp>BDH|17413877610573319837</stp>
        <tr r="C24" s="4"/>
      </tp>
      <tp t="e">
        <v>#N/A</v>
        <stp/>
        <stp>BDH|18223808670385583759</stp>
        <tr r="K15" s="2"/>
      </tp>
      <tp t="e">
        <v>#N/A</v>
        <stp/>
        <stp>BDH|14304689364470481197</stp>
        <tr r="C34" s="2"/>
      </tp>
      <tp t="e">
        <v>#N/A</v>
        <stp/>
        <stp>BDH|13032616317347000639</stp>
        <tr r="C13" s="2"/>
      </tp>
      <tp t="e">
        <v>#N/A</v>
        <stp/>
        <stp>BDH|17742402420836143235</stp>
        <tr r="K36" s="2"/>
      </tp>
      <tp t="e">
        <v>#N/A</v>
        <stp/>
        <stp>BDH|16327473931276150208</stp>
        <tr r="G91" s="2"/>
      </tp>
      <tp t="e">
        <v>#N/A</v>
        <stp/>
        <stp>BDH|12174253467066676516</stp>
        <tr r="K20" s="4"/>
      </tp>
      <tp t="e">
        <v>#N/A</v>
        <stp/>
        <stp>BDH|17398947101582734967</stp>
        <tr r="H66" s="4"/>
      </tp>
      <tp t="e">
        <v>#N/A</v>
        <stp/>
        <stp>BDH|10204991989516514206</stp>
        <tr r="D10" s="4"/>
      </tp>
      <tp t="e">
        <v>#N/A</v>
        <stp/>
        <stp>BDH|16242355079201863617</stp>
        <tr r="J12" s="2"/>
      </tp>
      <tp t="e">
        <v>#N/A</v>
        <stp/>
        <stp>BDH|16243447861069999883</stp>
        <tr r="G75" s="2"/>
      </tp>
      <tp t="e">
        <v>#N/A</v>
        <stp/>
        <stp>BDH|12547252146572688363</stp>
        <tr r="K32" s="4"/>
        <tr r="K44" s="4"/>
      </tp>
      <tp t="e">
        <v>#N/A</v>
        <stp/>
        <stp>BDH|13290196756575830734</stp>
        <tr r="L14" s="2"/>
      </tp>
      <tp t="e">
        <v>#N/A</v>
        <stp/>
        <stp>BDH|14176988542989522586</stp>
        <tr r="L34" s="2"/>
      </tp>
      <tp t="e">
        <v>#N/A</v>
        <stp/>
        <stp>BDH|10383184818714288174</stp>
        <tr r="F8" s="4"/>
      </tp>
      <tp t="e">
        <v>#N/A</v>
        <stp/>
        <stp>BDH|17225266506486357680</stp>
        <tr r="H19" s="4"/>
      </tp>
      <tp t="e">
        <v>#N/A</v>
        <stp/>
        <stp>BDH|11995581441590884511</stp>
        <tr r="F8" s="2"/>
      </tp>
      <tp t="e">
        <v>#N/A</v>
        <stp/>
        <stp>BDH|11329406957222480782</stp>
        <tr r="K40" s="2"/>
      </tp>
      <tp t="e">
        <v>#N/A</v>
        <stp/>
        <stp>BDH|11524093297109230428</stp>
        <tr r="D41" s="2"/>
      </tp>
      <tp t="e">
        <v>#N/A</v>
        <stp/>
        <stp>BDH|13261338311717315399</stp>
        <tr r="J72" s="2"/>
      </tp>
      <tp t="e">
        <v>#N/A</v>
        <stp/>
        <stp>BDH|14706828318950091879</stp>
        <tr r="J52" s="4"/>
      </tp>
      <tp t="e">
        <v>#N/A</v>
        <stp/>
        <stp>BDH|11375203382336870835</stp>
        <tr r="F26" s="2"/>
      </tp>
      <tp t="e">
        <v>#N/A</v>
        <stp/>
        <stp>BDH|17097203936275234694</stp>
        <tr r="L79" s="2"/>
      </tp>
      <tp t="e">
        <v>#N/A</v>
        <stp/>
        <stp>BDH|10975811097152572670</stp>
        <tr r="I17" s="4"/>
      </tp>
      <tp t="e">
        <v>#N/A</v>
        <stp/>
        <stp>BDH|11232799722460310179</stp>
        <tr r="C68" s="4"/>
      </tp>
      <tp t="e">
        <v>#N/A</v>
        <stp/>
        <stp>BDH|14415881448174900915</stp>
        <tr r="C30" s="4"/>
      </tp>
      <tp t="e">
        <v>#N/A</v>
        <stp/>
        <stp>BDH|13440672378015511223</stp>
        <tr r="H63" s="2"/>
      </tp>
      <tp t="e">
        <v>#N/A</v>
        <stp/>
        <stp>BDH|12730889482224423369</stp>
        <tr r="I78" s="2"/>
      </tp>
      <tp t="e">
        <v>#N/A</v>
        <stp/>
        <stp>BDH|13616169633644849053</stp>
        <tr r="C32" s="2"/>
      </tp>
      <tp t="e">
        <v>#N/A</v>
        <stp/>
        <stp>BDH|17299685042368238848</stp>
        <tr r="K43" s="4"/>
      </tp>
      <tp t="e">
        <v>#N/A</v>
        <stp/>
        <stp>BDH|6666693218114941949</stp>
        <tr r="E38" s="2"/>
      </tp>
      <tp t="e">
        <v>#N/A</v>
        <stp/>
        <stp>BDH|7597225159474084851</stp>
        <tr r="E34" s="4"/>
      </tp>
      <tp t="e">
        <v>#N/A</v>
        <stp/>
        <stp>BDH|2819323511974705841</stp>
        <tr r="C9" s="4"/>
      </tp>
      <tp t="e">
        <v>#N/A</v>
        <stp/>
        <stp>BDH|4000048443655879977</stp>
        <tr r="H51" s="4"/>
      </tp>
      <tp t="e">
        <v>#N/A</v>
        <stp/>
        <stp>BDH|3830046610396690848</stp>
        <tr r="J8" s="4"/>
      </tp>
      <tp t="e">
        <v>#N/A</v>
        <stp/>
        <stp>BDH|3403849468664745516</stp>
        <tr r="H69" s="2"/>
      </tp>
      <tp t="e">
        <v>#N/A</v>
        <stp/>
        <stp>BDH|2612826899356593978</stp>
        <tr r="L15" s="2"/>
      </tp>
      <tp t="e">
        <v>#N/A</v>
        <stp/>
        <stp>BDH|5115489556618907099</stp>
        <tr r="I13" s="2"/>
      </tp>
      <tp t="e">
        <v>#N/A</v>
        <stp/>
        <stp>BDH|4632105971657917921</stp>
        <tr r="E73" s="2"/>
      </tp>
      <tp t="e">
        <v>#N/A</v>
        <stp/>
        <stp>BDH|3825797988435791526</stp>
        <tr r="J63" s="2"/>
      </tp>
      <tp t="e">
        <v>#N/A</v>
        <stp/>
        <stp>BDH|2017674732149165298</stp>
        <tr r="C48" s="2"/>
      </tp>
      <tp t="e">
        <v>#N/A</v>
        <stp/>
        <stp>BDH|7313629387117311284</stp>
        <tr r="D45" s="2"/>
      </tp>
      <tp t="e">
        <v>#N/A</v>
        <stp/>
        <stp>BDH|9916278490386652853</stp>
        <tr r="D27" s="4"/>
      </tp>
      <tp t="e">
        <v>#N/A</v>
        <stp/>
        <stp>BDH|5965153103608842052</stp>
        <tr r="G34" s="2"/>
      </tp>
      <tp t="e">
        <v>#N/A</v>
        <stp/>
        <stp>BDH|5355035555059608504</stp>
        <tr r="H83" s="2"/>
      </tp>
      <tp t="e">
        <v>#N/A</v>
        <stp/>
        <stp>BDH|7354472182851153640</stp>
        <tr r="C63" s="4"/>
      </tp>
      <tp t="e">
        <v>#N/A</v>
        <stp/>
        <stp>BDH|8226333507983025454</stp>
        <tr r="J46" s="4"/>
      </tp>
      <tp t="e">
        <v>#N/A</v>
        <stp/>
        <stp>BDH|4585963351197324319</stp>
        <tr r="F49" s="4"/>
      </tp>
      <tp t="e">
        <v>#N/A</v>
        <stp/>
        <stp>BDH|6060811226693210355</stp>
        <tr r="H54" s="4"/>
      </tp>
      <tp t="e">
        <v>#N/A</v>
        <stp/>
        <stp>BDH|1959988165074028648</stp>
        <tr r="E26" s="2"/>
      </tp>
      <tp t="e">
        <v>#N/A</v>
        <stp/>
        <stp>BDH|9364339745927576513</stp>
        <tr r="H70" s="2"/>
      </tp>
      <tp t="e">
        <v>#N/A</v>
        <stp/>
        <stp>BDH|7704641708575416895</stp>
        <tr r="L90" s="2"/>
      </tp>
      <tp t="e">
        <v>#N/A</v>
        <stp/>
        <stp>BDH|2788162191767314151</stp>
        <tr r="E27" s="4"/>
      </tp>
      <tp t="e">
        <v>#N/A</v>
        <stp/>
        <stp>BDH|8284302221895609026</stp>
        <tr r="J24" s="2"/>
      </tp>
      <tp t="e">
        <v>#N/A</v>
        <stp/>
        <stp>BDH|7892590096081628657</stp>
        <tr r="L72" s="2"/>
      </tp>
      <tp t="e">
        <v>#N/A</v>
        <stp/>
        <stp>BDH|3127451884826576513</stp>
        <tr r="F26" s="4"/>
      </tp>
      <tp t="e">
        <v>#N/A</v>
        <stp/>
        <stp>BDH|9556269516434932299</stp>
        <tr r="K93" s="2"/>
      </tp>
      <tp t="e">
        <v>#N/A</v>
        <stp/>
        <stp>BDH|3419702839158047384</stp>
        <tr r="E18" s="2"/>
      </tp>
      <tp t="e">
        <v>#N/A</v>
        <stp/>
        <stp>BDH|7471403773838038023</stp>
        <tr r="F13" s="2"/>
      </tp>
      <tp t="e">
        <v>#N/A</v>
        <stp/>
        <stp>BDH|1290310893800697734</stp>
        <tr r="F34" s="2"/>
      </tp>
      <tp t="e">
        <v>#N/A</v>
        <stp/>
        <stp>BDH|3488997439205448056</stp>
        <tr r="C43" s="4"/>
      </tp>
      <tp t="e">
        <v>#N/A</v>
        <stp/>
        <stp>BDH|9304940494845104076</stp>
        <tr r="J68" s="2"/>
      </tp>
      <tp t="e">
        <v>#N/A</v>
        <stp/>
        <stp>BDH|2226221055428570080</stp>
        <tr r="E66" s="4"/>
      </tp>
      <tp t="e">
        <v>#N/A</v>
        <stp/>
        <stp>BDH|4119494600135402842</stp>
        <tr r="L26" s="2"/>
      </tp>
      <tp t="e">
        <v>#N/A</v>
        <stp/>
        <stp>BDH|9098445378797115048</stp>
        <tr r="I36" s="4"/>
      </tp>
      <tp t="e">
        <v>#N/A</v>
        <stp/>
        <stp>BDH|8041017919781848596</stp>
        <tr r="G94" s="2"/>
      </tp>
      <tp t="e">
        <v>#N/A</v>
        <stp/>
        <stp>BDH|5045302054227938936</stp>
        <tr r="H59" s="4"/>
      </tp>
      <tp t="e">
        <v>#N/A</v>
        <stp/>
        <stp>BDH|9765177460595925676</stp>
        <tr r="I30" s="4"/>
      </tp>
      <tp t="e">
        <v>#N/A</v>
        <stp/>
        <stp>BDH|4960830733543491133</stp>
        <tr r="J27" s="4"/>
      </tp>
      <tp t="e">
        <v>#N/A</v>
        <stp/>
        <stp>BDH|6486920269321678575</stp>
        <tr r="C20" s="4"/>
      </tp>
      <tp t="e">
        <v>#N/A</v>
        <stp/>
        <stp>BDH|9217467238422781151</stp>
        <tr r="F75" s="2"/>
      </tp>
      <tp t="e">
        <v>#N/A</v>
        <stp/>
        <stp>BDH|3352668781207290789</stp>
        <tr r="D13" s="4"/>
      </tp>
      <tp t="e">
        <v>#N/A</v>
        <stp/>
        <stp>BDH|9574859376182020991</stp>
        <tr r="J18" s="4"/>
      </tp>
      <tp t="e">
        <v>#N/A</v>
        <stp/>
        <stp>BDH|4705795400389149730</stp>
        <tr r="G27" s="2"/>
      </tp>
      <tp t="e">
        <v>#N/A</v>
        <stp/>
        <stp>BDH|8601558470237954078</stp>
        <tr r="H33" s="4"/>
      </tp>
      <tp t="e">
        <v>#N/A</v>
        <stp/>
        <stp>BDH|2091587381622394084</stp>
        <tr r="D34" s="4"/>
      </tp>
      <tp t="e">
        <v>#N/A</v>
        <stp/>
        <stp>BDH|9537345701543450477</stp>
        <tr r="D32" s="4"/>
        <tr r="D44" s="4"/>
      </tp>
      <tp t="e">
        <v>#N/A</v>
        <stp/>
        <stp>BDH|5883977594989109197</stp>
        <tr r="K37" s="4"/>
      </tp>
      <tp t="e">
        <v>#N/A</v>
        <stp/>
        <stp>BDH|6484367291920010103</stp>
        <tr r="G72" s="2"/>
      </tp>
      <tp t="e">
        <v>#N/A</v>
        <stp/>
        <stp>BDH|6086433987973615430</stp>
        <tr r="H24" s="4"/>
      </tp>
      <tp t="e">
        <v>#N/A</v>
        <stp/>
        <stp>BDH|9359231722540413474</stp>
        <tr r="G86" s="2"/>
      </tp>
      <tp t="e">
        <v>#N/A</v>
        <stp/>
        <stp>BDH|5218414866538058241</stp>
        <tr r="D8" s="4"/>
      </tp>
      <tp t="e">
        <v>#N/A</v>
        <stp/>
        <stp>BDH|3411946173796699646</stp>
        <tr r="I12" s="2"/>
      </tp>
      <tp t="e">
        <v>#N/A</v>
        <stp/>
        <stp>BDH|8213023028865979202</stp>
        <tr r="H10" s="2"/>
      </tp>
      <tp t="e">
        <v>#N/A</v>
        <stp/>
        <stp>BDH|9142921356029478177</stp>
        <tr r="I68" s="4"/>
      </tp>
      <tp t="e">
        <v>#N/A</v>
        <stp/>
        <stp>BDH|3827527738649329176</stp>
        <tr r="L93" s="2"/>
      </tp>
      <tp t="e">
        <v>#N/A</v>
        <stp/>
        <stp>BDH|9896101728060377754</stp>
        <tr r="H12" s="4"/>
      </tp>
      <tp t="e">
        <v>#N/A</v>
        <stp/>
        <stp>BDH|6662701891425078019</stp>
        <tr r="H86" s="2"/>
      </tp>
      <tp t="e">
        <v>#N/A</v>
        <stp/>
        <stp>BDH|1172524730129167365</stp>
        <tr r="L58" s="2"/>
      </tp>
      <tp t="e">
        <v>#N/A</v>
        <stp/>
        <stp>BDH|1540021493501168417</stp>
        <tr r="D48" s="2"/>
      </tp>
      <tp t="e">
        <v>#N/A</v>
        <stp/>
        <stp>BDH|6076873112156365431</stp>
        <tr r="J57" s="2"/>
      </tp>
      <tp t="e">
        <v>#N/A</v>
        <stp/>
        <stp>BDH|5417134585940045176</stp>
        <tr r="I28" s="2"/>
      </tp>
      <tp t="e">
        <v>#N/A</v>
        <stp/>
        <stp>BDH|76525574883604148</stp>
        <tr r="C66" s="2"/>
      </tp>
      <tp t="e">
        <v>#N/A</v>
        <stp/>
        <stp>BDH|38259634069453857</stp>
        <tr r="D59" s="2"/>
      </tp>
      <tp t="e">
        <v>#N/A</v>
        <stp/>
        <stp>BDH|1995612582622115317</stp>
        <tr r="J14" s="2"/>
      </tp>
      <tp t="e">
        <v>#N/A</v>
        <stp/>
        <stp>BDH|2598362344753589889</stp>
        <tr r="D35" s="2"/>
      </tp>
      <tp t="e">
        <v>#N/A</v>
        <stp/>
        <stp>BDH|5950808003894642777</stp>
        <tr r="F53" s="4"/>
      </tp>
      <tp t="e">
        <v>#N/A</v>
        <stp/>
        <stp>BDH|8829765323157126447</stp>
        <tr r="K45" s="2"/>
      </tp>
      <tp t="e">
        <v>#N/A</v>
        <stp/>
        <stp>BDH|6041873242277503382</stp>
        <tr r="G18" s="4"/>
      </tp>
      <tp t="e">
        <v>#N/A</v>
        <stp/>
        <stp>BDH|6567675445573682995</stp>
        <tr r="K48" s="4"/>
      </tp>
      <tp t="e">
        <v>#N/A</v>
        <stp/>
        <stp>BDH|2930975977677565556</stp>
        <tr r="G63" s="2"/>
      </tp>
      <tp t="e">
        <v>#N/A</v>
        <stp/>
        <stp>BDH|8991059236543048639</stp>
        <tr r="K44" s="2"/>
      </tp>
      <tp t="e">
        <v>#N/A</v>
        <stp/>
        <stp>BDH|3263638232760307895</stp>
        <tr r="K66" s="4"/>
      </tp>
      <tp t="e">
        <v>#N/A</v>
        <stp/>
        <stp>BDH|9550610065636140198</stp>
        <tr r="L50" s="2"/>
      </tp>
      <tp t="e">
        <v>#N/A</v>
        <stp/>
        <stp>BDH|2355117810738867440</stp>
        <tr r="C14" s="4"/>
      </tp>
      <tp t="e">
        <v>#N/A</v>
        <stp/>
        <stp>BDH|8811633966617507162</stp>
        <tr r="H49" s="4"/>
      </tp>
      <tp t="e">
        <v>#N/A</v>
        <stp/>
        <stp>BDH|8315147825794823153</stp>
        <tr r="H87" s="2"/>
      </tp>
      <tp t="e">
        <v>#N/A</v>
        <stp/>
        <stp>BDH|9214652748740849585</stp>
        <tr r="G73" s="2"/>
      </tp>
      <tp t="e">
        <v>#N/A</v>
        <stp/>
        <stp>BDH|1810428728521511889</stp>
        <tr r="J43" s="4"/>
      </tp>
      <tp t="e">
        <v>#N/A</v>
        <stp/>
        <stp>BDH|6056250491661226299</stp>
        <tr r="E84" s="2"/>
      </tp>
      <tp t="e">
        <v>#N/A</v>
        <stp/>
        <stp>BDH|7829756423879228536</stp>
        <tr r="I38" s="4"/>
      </tp>
      <tp t="e">
        <v>#N/A</v>
        <stp/>
        <stp>BDH|4370904449680668703</stp>
        <tr r="J14" s="4"/>
      </tp>
      <tp t="e">
        <v>#N/A</v>
        <stp/>
        <stp>BDH|5276585412178434708</stp>
        <tr r="D85" s="2"/>
      </tp>
      <tp t="e">
        <v>#N/A</v>
        <stp/>
        <stp>BDH|9753732451926096380</stp>
        <tr r="C13" s="4"/>
      </tp>
      <tp t="e">
        <v>#N/A</v>
        <stp/>
        <stp>BDH|8276523947095266289</stp>
        <tr r="H64" s="2"/>
      </tp>
      <tp t="e">
        <v>#N/A</v>
        <stp/>
        <stp>BDH|8544519017222891068</stp>
        <tr r="C76" s="2"/>
      </tp>
      <tp t="e">
        <v>#N/A</v>
        <stp/>
        <stp>BDH|3226024990754620040</stp>
        <tr r="G13" s="2"/>
      </tp>
      <tp t="e">
        <v>#N/A</v>
        <stp/>
        <stp>BDH|2101972449252478395</stp>
        <tr r="C38" s="4"/>
      </tp>
      <tp t="e">
        <v>#N/A</v>
        <stp/>
        <stp>BDH|9768462999653296982</stp>
        <tr r="F33" s="2"/>
      </tp>
      <tp t="e">
        <v>#N/A</v>
        <stp/>
        <stp>BDH|9078631806323495237</stp>
        <tr r="I62" s="4"/>
      </tp>
      <tp t="e">
        <v>#N/A</v>
        <stp/>
        <stp>BDH|7343349696286669553</stp>
        <tr r="L19" s="2"/>
      </tp>
      <tp t="e">
        <v>#N/A</v>
        <stp/>
        <stp>BDH|6575456125916624808</stp>
        <tr r="E57" s="2"/>
      </tp>
      <tp t="e">
        <v>#N/A</v>
        <stp/>
        <stp>BDH|7230619413969113725</stp>
        <tr r="K22" s="2"/>
      </tp>
      <tp t="e">
        <v>#N/A</v>
        <stp/>
        <stp>BDH|7554003677648525649</stp>
        <tr r="H28" s="2"/>
      </tp>
      <tp t="e">
        <v>#N/A</v>
        <stp/>
        <stp>BDH|2025496288294951480</stp>
        <tr r="E8" s="2"/>
      </tp>
      <tp t="e">
        <v>#N/A</v>
        <stp/>
        <stp>BDH|2790788786383168086</stp>
        <tr r="H35" s="2"/>
      </tp>
      <tp t="e">
        <v>#N/A</v>
        <stp/>
        <stp>BDH|4567654984132101656</stp>
        <tr r="F43" s="4"/>
      </tp>
      <tp t="e">
        <v>#N/A</v>
        <stp/>
        <stp>BDH|9287325374640455309</stp>
        <tr r="G49" s="4"/>
      </tp>
      <tp t="e">
        <v>#N/A</v>
        <stp/>
        <stp>BDH|9477443248397049089</stp>
        <tr r="K42" s="4"/>
      </tp>
      <tp t="e">
        <v>#N/A</v>
        <stp/>
        <stp>BDH|6887964652513876744</stp>
        <tr r="D16" s="2"/>
      </tp>
      <tp t="e">
        <v>#N/A</v>
        <stp/>
        <stp>BDH|5613812397069390337</stp>
        <tr r="K59" s="4"/>
      </tp>
      <tp t="e">
        <v>#N/A</v>
        <stp/>
        <stp>BDH|9679283190884675884</stp>
        <tr r="G38" s="4"/>
      </tp>
      <tp t="e">
        <v>#N/A</v>
        <stp/>
        <stp>BDH|1805893524827370278</stp>
        <tr r="E94" s="2"/>
      </tp>
      <tp t="e">
        <v>#N/A</v>
        <stp/>
        <stp>BDH|7227828679356816003</stp>
        <tr r="F9" s="4"/>
      </tp>
      <tp t="e">
        <v>#N/A</v>
        <stp/>
        <stp>BDH|3027242387070050729</stp>
        <tr r="J58" s="2"/>
      </tp>
      <tp t="e">
        <v>#N/A</v>
        <stp/>
        <stp>BDH|5840682701818199561</stp>
        <tr r="G39" s="4"/>
      </tp>
      <tp t="e">
        <v>#N/A</v>
        <stp/>
        <stp>BDH|9080599059205564220</stp>
        <tr r="L9" s="2"/>
      </tp>
      <tp t="e">
        <v>#N/A</v>
        <stp/>
        <stp>BDH|4005878476534121170</stp>
        <tr r="L44" s="2"/>
      </tp>
      <tp t="e">
        <v>#N/A</v>
        <stp/>
        <stp>BDH|6462326139130905826</stp>
        <tr r="G89" s="2"/>
      </tp>
      <tp t="e">
        <v>#N/A</v>
        <stp/>
        <stp>BDH|6875924001227996661</stp>
        <tr r="I47" s="2"/>
      </tp>
      <tp t="e">
        <v>#N/A</v>
        <stp/>
        <stp>BDH|91861243918568701</stp>
        <tr r="D38" s="4"/>
      </tp>
      <tp t="e">
        <v>#N/A</v>
        <stp/>
        <stp>BDH|8341166239794043160</stp>
        <tr r="L62" s="2"/>
      </tp>
      <tp t="e">
        <v>#N/A</v>
        <stp/>
        <stp>BDH|8445416151406934070</stp>
        <tr r="L31" s="2"/>
      </tp>
      <tp t="e">
        <v>#N/A</v>
        <stp/>
        <stp>BDH|4986872465915005003</stp>
        <tr r="E53" s="4"/>
      </tp>
      <tp t="e">
        <v>#N/A</v>
        <stp/>
        <stp>BDH|6786234298882296054</stp>
        <tr r="E85" s="2"/>
      </tp>
      <tp t="e">
        <v>#N/A</v>
        <stp/>
        <stp>BDH|9615590121266703729</stp>
        <tr r="I20" s="2"/>
      </tp>
      <tp t="e">
        <v>#N/A</v>
        <stp/>
        <stp>BDH|9210168522470438591</stp>
        <tr r="C51" s="4"/>
      </tp>
      <tp t="e">
        <v>#N/A</v>
        <stp/>
        <stp>BDH|5563797786440043525</stp>
        <tr r="L40" s="2"/>
      </tp>
      <tp t="e">
        <v>#N/A</v>
        <stp/>
        <stp>BDH|9810263117225186012</stp>
        <tr r="G14" s="4"/>
      </tp>
      <tp t="e">
        <v>#N/A</v>
        <stp/>
        <stp>BDH|5534374299456048656</stp>
        <tr r="I31" s="4"/>
      </tp>
      <tp t="e">
        <v>#N/A</v>
        <stp/>
        <stp>BDH|4298654311308185493</stp>
        <tr r="D13" s="2"/>
      </tp>
      <tp t="e">
        <v>#N/A</v>
        <stp/>
        <stp>BDH|1629740118528751034</stp>
        <tr r="F66" s="2"/>
      </tp>
      <tp t="e">
        <v>#N/A</v>
        <stp/>
        <stp>BDH|8584785530257478477</stp>
        <tr r="F25" s="4"/>
      </tp>
      <tp t="e">
        <v>#N/A</v>
        <stp/>
        <stp>BDH|5395696441798034055</stp>
        <tr r="D62" s="2"/>
      </tp>
      <tp t="e">
        <v>#N/A</v>
        <stp/>
        <stp>BDH|3701780891330852291</stp>
        <tr r="H47" s="4"/>
      </tp>
      <tp t="e">
        <v>#N/A</v>
        <stp/>
        <stp>BDH|7450892077385466223</stp>
        <tr r="I16" s="4"/>
      </tp>
      <tp t="e">
        <v>#N/A</v>
        <stp/>
        <stp>BDH|9996992376380893826</stp>
        <tr r="E65" s="2"/>
      </tp>
      <tp t="e">
        <v>#N/A</v>
        <stp/>
        <stp>BDH|3644910941276922738</stp>
        <tr r="J67" s="4"/>
      </tp>
      <tp t="e">
        <v>#N/A</v>
        <stp/>
        <stp>BDH|1813046690113570440</stp>
        <tr r="F16" s="2"/>
      </tp>
      <tp t="e">
        <v>#N/A</v>
        <stp/>
        <stp>BDH|1961465099317977422</stp>
        <tr r="K25" s="4"/>
      </tp>
      <tp t="e">
        <v>#N/A</v>
        <stp/>
        <stp>BDH|6748262095082162073</stp>
        <tr r="F16" s="4"/>
      </tp>
      <tp t="e">
        <v>#N/A</v>
        <stp/>
        <stp>BDH|8502209787738692565</stp>
        <tr r="G18" s="2"/>
      </tp>
      <tp t="e">
        <v>#N/A</v>
        <stp/>
        <stp>BDH|4139111991986067536</stp>
        <tr r="G8" s="2"/>
      </tp>
      <tp t="e">
        <v>#N/A</v>
        <stp/>
        <stp>BDH|2907739166375879967</stp>
        <tr r="F39" s="2"/>
      </tp>
      <tp t="e">
        <v>#N/A</v>
        <stp/>
        <stp>BDH|4436853675386011268</stp>
        <tr r="D59" s="4"/>
      </tp>
      <tp t="e">
        <v>#N/A</v>
        <stp/>
        <stp>BDH|8746485568137253278</stp>
        <tr r="D15" s="2"/>
      </tp>
      <tp t="e">
        <v>#N/A</v>
        <stp/>
        <stp>BDH|2907780030320373913</stp>
        <tr r="I71" s="2"/>
      </tp>
      <tp t="e">
        <v>#N/A</v>
        <stp/>
        <stp>BDH|1143517330769302130</stp>
        <tr r="J23" s="2"/>
      </tp>
      <tp t="e">
        <v>#N/A</v>
        <stp/>
        <stp>BDH|8027460367197520253</stp>
        <tr r="I52" s="2"/>
      </tp>
      <tp t="e">
        <v>#N/A</v>
        <stp/>
        <stp>BDH|9899275599188387540</stp>
        <tr r="C53" s="2"/>
      </tp>
      <tp t="e">
        <v>#N/A</v>
        <stp/>
        <stp>BDH|1426846871704173511</stp>
        <tr r="E62" s="2"/>
      </tp>
      <tp t="e">
        <v>#N/A</v>
        <stp/>
        <stp>BDH|3901451909778503018</stp>
        <tr r="K69" s="2"/>
      </tp>
      <tp t="e">
        <v>#N/A</v>
        <stp/>
        <stp>BDH|6112934750497235277</stp>
        <tr r="G13" s="4"/>
      </tp>
      <tp t="e">
        <v>#N/A</v>
        <stp/>
        <stp>BDH|7280040740498071428</stp>
        <tr r="F40" s="2"/>
      </tp>
      <tp t="e">
        <v>#N/A</v>
        <stp/>
        <stp>BDH|9017091479766621720</stp>
        <tr r="F25" s="2"/>
      </tp>
      <tp t="e">
        <v>#N/A</v>
        <stp/>
        <stp>BDH|1026661442054464856</stp>
        <tr r="F15" s="2"/>
      </tp>
      <tp t="e">
        <v>#N/A</v>
        <stp/>
        <stp>BDH|8604528392828562362</stp>
        <tr r="G93" s="2"/>
      </tp>
      <tp t="e">
        <v>#N/A</v>
        <stp/>
        <stp>BDH|7263379341146607978</stp>
        <tr r="J58" s="4"/>
      </tp>
      <tp t="e">
        <v>#N/A</v>
        <stp/>
        <stp>BDH|9139540506797528438</stp>
        <tr r="E43" s="4"/>
      </tp>
      <tp t="e">
        <v>#N/A</v>
        <stp/>
        <stp>BDH|71626843270101026</stp>
        <tr r="G21" s="4"/>
      </tp>
      <tp t="e">
        <v>#N/A</v>
        <stp/>
        <stp>BDH|2842503152498047206</stp>
        <tr r="K67" s="4"/>
      </tp>
      <tp t="e">
        <v>#N/A</v>
        <stp/>
        <stp>BDH|7798384396694512167</stp>
        <tr r="L67" s="2"/>
      </tp>
      <tp t="e">
        <v>#N/A</v>
        <stp/>
        <stp>BDH|5840333598131015687</stp>
        <tr r="J36" s="2"/>
      </tp>
      <tp t="e">
        <v>#N/A</v>
        <stp/>
        <stp>BDH|7930822784307667814</stp>
        <tr r="D14" s="4"/>
      </tp>
      <tp t="e">
        <v>#N/A</v>
        <stp/>
        <stp>BDH|4814368521055283843</stp>
        <tr r="E16" s="4"/>
      </tp>
      <tp t="e">
        <v>#N/A</v>
        <stp/>
        <stp>BDH|1119066346728620591</stp>
        <tr r="E46" s="4"/>
      </tp>
      <tp t="e">
        <v>#N/A</v>
        <stp/>
        <stp>BDH|7094800463108884959</stp>
        <tr r="E32" s="2"/>
      </tp>
      <tp t="e">
        <v>#N/A</v>
        <stp/>
        <stp>BDH|8802210836575686457</stp>
        <tr r="C8" s="4"/>
      </tp>
      <tp t="e">
        <v>#N/A</v>
        <stp/>
        <stp>BDH|6782712983378129999</stp>
        <tr r="J53" s="2"/>
      </tp>
      <tp t="e">
        <v>#N/A</v>
        <stp/>
        <stp>BDH|2425819125806534687</stp>
        <tr r="H57" s="2"/>
      </tp>
      <tp t="e">
        <v>#N/A</v>
        <stp/>
        <stp>BDH|6966783659158537401</stp>
        <tr r="I31" s="2"/>
      </tp>
      <tp t="e">
        <v>#N/A</v>
        <stp/>
        <stp>BDH|1981851362972692550</stp>
        <tr r="H66" s="2"/>
      </tp>
      <tp t="e">
        <v>#N/A</v>
        <stp/>
        <stp>BDH|4856364322729671482</stp>
        <tr r="D86" s="2"/>
      </tp>
      <tp t="e">
        <v>#N/A</v>
        <stp/>
        <stp>BDH|3760260795691207146</stp>
        <tr r="E76" s="2"/>
      </tp>
      <tp t="e">
        <v>#N/A</v>
        <stp/>
        <stp>BDH|6129966882009069663</stp>
        <tr r="F53" s="2"/>
      </tp>
      <tp t="e">
        <v>#N/A</v>
        <stp/>
        <stp>BDH|7146927875342130345</stp>
        <tr r="I83" s="2"/>
      </tp>
      <tp t="e">
        <v>#N/A</v>
        <stp/>
        <stp>BDH|5408852217851479514</stp>
        <tr r="I66" s="4"/>
      </tp>
      <tp t="e">
        <v>#N/A</v>
        <stp/>
        <stp>BDH|4012318582386154111</stp>
        <tr r="K75" s="2"/>
      </tp>
      <tp t="e">
        <v>#N/A</v>
        <stp/>
        <stp>BDH|3529156111423622872</stp>
        <tr r="K29" s="2"/>
      </tp>
      <tp t="e">
        <v>#N/A</v>
        <stp/>
        <stp>BDH|5067546231143423814</stp>
        <tr r="C37" s="4"/>
      </tp>
      <tp t="e">
        <v>#N/A</v>
        <stp/>
        <stp>BDH|1636308497315817694</stp>
        <tr r="H58" s="4"/>
      </tp>
      <tp t="e">
        <v>#N/A</v>
        <stp/>
        <stp>BDH|5888448668116753924</stp>
        <tr r="D22" s="4"/>
      </tp>
      <tp t="e">
        <v>#N/A</v>
        <stp/>
        <stp>BDH|2550957989509185299</stp>
        <tr r="I34" s="2"/>
      </tp>
      <tp t="e">
        <v>#N/A</v>
        <stp/>
        <stp>BDH|7977840135451873568</stp>
        <tr r="L21" s="2"/>
      </tp>
      <tp t="e">
        <v>#N/A</v>
        <stp/>
        <stp>BDH|8458430035723526401</stp>
        <tr r="H88" s="2"/>
      </tp>
      <tp t="e">
        <v>#N/A</v>
        <stp/>
        <stp>BDH|7852811611732648494</stp>
        <tr r="E10" s="4"/>
      </tp>
      <tp t="e">
        <v>#N/A</v>
        <stp/>
        <stp>BDH|3333720220797029968</stp>
        <tr r="I67" s="2"/>
      </tp>
      <tp t="e">
        <v>#N/A</v>
        <stp/>
        <stp>BDH|9180222357752052400</stp>
        <tr r="I8" s="2"/>
      </tp>
      <tp t="e">
        <v>#N/A</v>
        <stp/>
        <stp>BDH|5274362672509256009</stp>
        <tr r="I44" s="4"/>
        <tr r="I32" s="4"/>
      </tp>
      <tp t="e">
        <v>#N/A</v>
        <stp/>
        <stp>BDH|3900776287201820547</stp>
        <tr r="J75" s="2"/>
      </tp>
      <tp t="e">
        <v>#N/A</v>
        <stp/>
        <stp>BDH|3750714690774430171</stp>
        <tr r="F61" s="4"/>
      </tp>
      <tp t="e">
        <v>#N/A</v>
        <stp/>
        <stp>BDH|3162176665985168974</stp>
        <tr r="I29" s="4"/>
      </tp>
      <tp t="e">
        <v>#N/A</v>
        <stp/>
        <stp>BDH|2028606886457337309</stp>
        <tr r="K46" s="4"/>
      </tp>
      <tp t="e">
        <v>#N/A</v>
        <stp/>
        <stp>BDH|8935462313431643504</stp>
        <tr r="E35" s="4"/>
      </tp>
      <tp t="e">
        <v>#N/A</v>
        <stp/>
        <stp>BDH|6653869800816981138</stp>
        <tr r="H17" s="4"/>
      </tp>
      <tp t="e">
        <v>#N/A</v>
        <stp/>
        <stp>BDH|6919401295204292659</stp>
        <tr r="E48" s="4"/>
      </tp>
      <tp t="e">
        <v>#N/A</v>
        <stp/>
        <stp>BDH|1123643283536972070</stp>
        <tr r="K30" s="4"/>
      </tp>
      <tp t="e">
        <v>#N/A</v>
        <stp/>
        <stp>BDH|3276778504195172880</stp>
        <tr r="E13" s="2"/>
      </tp>
      <tp t="e">
        <v>#N/A</v>
        <stp/>
        <stp>BDH|9614712860073973269</stp>
        <tr r="J93" s="2"/>
      </tp>
      <tp t="e">
        <v>#N/A</v>
        <stp/>
        <stp>BDH|2821774287100523447</stp>
        <tr r="L16" s="2"/>
      </tp>
      <tp t="e">
        <v>#N/A</v>
        <stp/>
        <stp>BDH|3647765336179630791</stp>
        <tr r="I18" s="4"/>
      </tp>
      <tp t="e">
        <v>#N/A</v>
        <stp/>
        <stp>BDH|4316983825652478435</stp>
        <tr r="J92" s="2"/>
      </tp>
      <tp t="e">
        <v>#N/A</v>
        <stp/>
        <stp>BDH|5760709250096607885</stp>
        <tr r="H52" s="4"/>
      </tp>
      <tp t="e">
        <v>#N/A</v>
        <stp/>
        <stp>BDH|4711028106329962430</stp>
        <tr r="I35" s="4"/>
      </tp>
      <tp t="e">
        <v>#N/A</v>
        <stp/>
        <stp>BDH|1022492840478644016</stp>
        <tr r="H14" s="2"/>
      </tp>
      <tp t="e">
        <v>#N/A</v>
        <stp/>
        <stp>BDH|6721417018612998894</stp>
        <tr r="H8" s="2"/>
      </tp>
      <tp t="e">
        <v>#N/A</v>
        <stp/>
        <stp>BDH|4662533818820855995</stp>
        <tr r="L88" s="2"/>
      </tp>
      <tp t="e">
        <v>#N/A</v>
        <stp/>
        <stp>BDH|2836868339085936527</stp>
        <tr r="C59" s="2"/>
      </tp>
      <tp t="e">
        <v>#N/A</v>
        <stp/>
        <stp>BDH|8062922613278993159</stp>
        <tr r="L92" s="2"/>
      </tp>
      <tp t="e">
        <v>#N/A</v>
        <stp/>
        <stp>BDH|1911793234799166588</stp>
        <tr r="K79" s="2"/>
      </tp>
      <tp t="e">
        <v>#N/A</v>
        <stp/>
        <stp>BDH|4486972265882543016</stp>
        <tr r="K14" s="2"/>
      </tp>
      <tp t="e">
        <v>#N/A</v>
        <stp/>
        <stp>BDH|4754475497601143145</stp>
        <tr r="I53" s="2"/>
      </tp>
      <tp t="e">
        <v>#N/A</v>
        <stp/>
        <stp>BDH|4411508664599364712</stp>
        <tr r="C10" s="2"/>
      </tp>
      <tp t="e">
        <v>#N/A</v>
        <stp/>
        <stp>BDH|3928906959827277107</stp>
        <tr r="H64" s="4"/>
      </tp>
      <tp t="e">
        <v>#N/A</v>
        <stp/>
        <stp>BDH|8117273332846023667</stp>
        <tr r="F13" s="4"/>
      </tp>
      <tp t="e">
        <v>#N/A</v>
        <stp/>
        <stp>BDH|6216227487643367679</stp>
        <tr r="J65" s="2"/>
      </tp>
      <tp t="e">
        <v>#N/A</v>
        <stp/>
        <stp>BDH|9925592732660240602</stp>
        <tr r="F23" s="4"/>
      </tp>
      <tp t="e">
        <v>#N/A</v>
        <stp/>
        <stp>BDH|9037261929146842666</stp>
        <tr r="E44" s="2"/>
      </tp>
      <tp t="e">
        <v>#N/A</v>
        <stp/>
        <stp>BDH|4039867411465680108</stp>
        <tr r="H13" s="4"/>
      </tp>
      <tp t="e">
        <v>#N/A</v>
        <stp/>
        <stp>BDH|8028021767773003449</stp>
        <tr r="F94" s="2"/>
      </tp>
      <tp t="e">
        <v>#N/A</v>
        <stp/>
        <stp>BDH|9060301902681054245</stp>
        <tr r="C46" s="4"/>
      </tp>
      <tp t="e">
        <v>#N/A</v>
        <stp/>
        <stp>BDH|8302731477687813695</stp>
        <tr r="I74" s="2"/>
      </tp>
      <tp t="e">
        <v>#N/A</v>
        <stp/>
        <stp>BDH|9051220288729950342</stp>
        <tr r="H11" s="4"/>
      </tp>
      <tp t="e">
        <v>#N/A</v>
        <stp/>
        <stp>BDH|8568406532526082033</stp>
        <tr r="H42" s="4"/>
      </tp>
      <tp t="e">
        <v>#N/A</v>
        <stp/>
        <stp>BDH|5831225937394052987</stp>
        <tr r="H38" s="4"/>
      </tp>
      <tp t="e">
        <v>#N/A</v>
        <stp/>
        <stp>BDH|3645022296452293156</stp>
        <tr r="D69" s="2"/>
      </tp>
      <tp t="e">
        <v>#N/A</v>
        <stp/>
        <stp>BDH|9028587345757561529</stp>
        <tr r="J88" s="2"/>
      </tp>
      <tp t="e">
        <v>#N/A</v>
        <stp/>
        <stp>BDH|9990377916514245512</stp>
        <tr r="H17" s="2"/>
        <tr r="G9" s="3"/>
      </tp>
      <tp t="e">
        <v>#N/A</v>
        <stp/>
        <stp>BDH|4986059841859339363</stp>
        <tr r="L64" s="2"/>
      </tp>
      <tp t="e">
        <v>#N/A</v>
        <stp/>
        <stp>BDH|3070798491746512153</stp>
        <tr r="D26" s="4"/>
      </tp>
      <tp t="e">
        <v>#N/A</v>
        <stp/>
        <stp>BDH|7910303750058689368</stp>
        <tr r="G58" s="4"/>
      </tp>
      <tp t="e">
        <v>#N/A</v>
        <stp/>
        <stp>BDH|6388121629908774717</stp>
        <tr r="G17" s="2"/>
        <tr r="F9" s="3"/>
      </tp>
      <tp t="e">
        <v>#N/A</v>
        <stp/>
        <stp>BDH|4749538189376184536</stp>
        <tr r="E63" s="2"/>
      </tp>
      <tp t="e">
        <v>#N/A</v>
        <stp/>
        <stp>BDH|9616045109481585213</stp>
        <tr r="F42" s="4"/>
      </tp>
      <tp t="e">
        <v>#N/A</v>
        <stp/>
        <stp>BDH|1295826709125020662</stp>
        <tr r="C27" s="4"/>
      </tp>
      <tp t="e">
        <v>#N/A</v>
        <stp/>
        <stp>BDH|3433884047013395648</stp>
        <tr r="K70" s="2"/>
      </tp>
      <tp t="e">
        <v>#N/A</v>
        <stp/>
        <stp>BDH|7311649750909307787</stp>
        <tr r="C91" s="2"/>
      </tp>
      <tp t="e">
        <v>#N/A</v>
        <stp/>
        <stp>BDH|8368132548017450014</stp>
        <tr r="C71" s="2"/>
      </tp>
      <tp t="e">
        <v>#N/A</v>
        <stp/>
        <stp>BDH|4115060962028167093</stp>
        <tr r="E13" s="4"/>
      </tp>
      <tp t="e">
        <v>#N/A</v>
        <stp/>
        <stp>BDH|8404725530220815631</stp>
        <tr r="D17" s="2"/>
        <tr r="C9" s="3"/>
      </tp>
      <tp t="e">
        <v>#N/A</v>
        <stp/>
        <stp>BDH|5975310420917890923</stp>
        <tr r="C16" s="4"/>
      </tp>
      <tp t="e">
        <v>#N/A</v>
        <stp/>
        <stp>BDH|2141539053989288117</stp>
        <tr r="G15" s="4"/>
      </tp>
      <tp t="e">
        <v>#N/A</v>
        <stp/>
        <stp>BDH|4457249935169551625</stp>
        <tr r="D42" s="4"/>
      </tp>
      <tp t="e">
        <v>#N/A</v>
        <stp/>
        <stp>BDH|6179862547776706676</stp>
        <tr r="E7" s="2"/>
      </tp>
      <tp t="e">
        <v>#N/A</v>
        <stp/>
        <stp>BDH|9367007808743259098</stp>
        <tr r="K55" s="2"/>
      </tp>
      <tp t="e">
        <v>#N/A</v>
        <stp/>
        <stp>BDH|1556940851545260229</stp>
        <tr r="J34" s="4"/>
      </tp>
      <tp t="e">
        <v>#N/A</v>
        <stp/>
        <stp>BDH|3040240328160969941</stp>
        <tr r="K64" s="2"/>
      </tp>
      <tp t="e">
        <v>#N/A</v>
        <stp/>
        <stp>BDH|8381066282922317825</stp>
        <tr r="I16" s="2"/>
      </tp>
      <tp t="e">
        <v>#N/A</v>
        <stp/>
        <stp>BDH|5362956611367752063</stp>
        <tr r="E50" s="2"/>
      </tp>
      <tp t="e">
        <v>#N/A</v>
        <stp/>
        <stp>BDH|6397313382356481128</stp>
        <tr r="C86" s="2"/>
      </tp>
      <tp t="e">
        <v>#N/A</v>
        <stp/>
        <stp>BDH|2232213675939692468</stp>
        <tr r="J30" s="2"/>
      </tp>
      <tp t="e">
        <v>#N/A</v>
        <stp/>
        <stp>BDH|4643513464928173544</stp>
        <tr r="C22" s="4"/>
      </tp>
      <tp t="e">
        <v>#N/A</v>
        <stp/>
        <stp>BDH|7102949731876620151</stp>
        <tr r="F79" s="2"/>
      </tp>
      <tp t="e">
        <v>#N/A</v>
        <stp/>
        <stp>BDH|8186265146345718119</stp>
        <tr r="E74" s="2"/>
      </tp>
      <tp t="e">
        <v>#N/A</v>
        <stp/>
        <stp>BDH|8623429404933285554</stp>
        <tr r="E59" s="4"/>
      </tp>
      <tp t="e">
        <v>#N/A</v>
        <stp/>
        <stp>BDH|7319687585605250680</stp>
        <tr r="F19" s="4"/>
      </tp>
      <tp t="e">
        <v>#N/A</v>
        <stp/>
        <stp>BDH|9205745873603831083</stp>
        <tr r="F64" s="2"/>
      </tp>
      <tp t="e">
        <v>#N/A</v>
        <stp/>
        <stp>BDH|2763816850850485572</stp>
        <tr r="H10" s="4"/>
      </tp>
      <tp t="e">
        <v>#N/A</v>
        <stp/>
        <stp>BDH|19156754856029580</stp>
        <tr r="I8" s="4"/>
      </tp>
      <tp t="e">
        <v>#N/A</v>
        <stp/>
        <stp>BDH|4359102014549913646</stp>
        <tr r="E86" s="2"/>
      </tp>
      <tp t="e">
        <v>#N/A</v>
        <stp/>
        <stp>BDH|5628866570678274982</stp>
        <tr r="H26" s="2"/>
      </tp>
      <tp t="e">
        <v>#N/A</v>
        <stp/>
        <stp>BDH|7822305641523604841</stp>
        <tr r="G77" s="2"/>
      </tp>
      <tp t="e">
        <v>#N/A</v>
        <stp/>
        <stp>BDH|5816356451070779807</stp>
        <tr r="G11" s="4"/>
      </tp>
      <tp t="e">
        <v>#N/A</v>
        <stp/>
        <stp>BDH|3247558471408697280</stp>
        <tr r="K61" s="4"/>
      </tp>
      <tp t="e">
        <v>#N/A</v>
        <stp/>
        <stp>BDH|9926060528320749083</stp>
        <tr r="K62" s="4"/>
      </tp>
      <tp t="e">
        <v>#N/A</v>
        <stp/>
        <stp>BDH|8130186612155499674</stp>
        <tr r="F58" s="2"/>
      </tp>
      <tp t="e">
        <v>#N/A</v>
        <stp/>
        <stp>BDH|1870337140515111838</stp>
        <tr r="K12" s="2"/>
      </tp>
      <tp t="e">
        <v>#N/A</v>
        <stp/>
        <stp>BDH|7090661280722939016</stp>
        <tr r="F52" s="4"/>
      </tp>
      <tp t="e">
        <v>#N/A</v>
        <stp/>
        <stp>BDH|1943646803579460557</stp>
        <tr r="I66" s="2"/>
      </tp>
      <tp t="e">
        <v>#N/A</v>
        <stp/>
        <stp>BDH|6692389573369388010</stp>
        <tr r="J6" s="4"/>
      </tp>
      <tp t="e">
        <v>#N/A</v>
        <stp/>
        <stp>BDH|6090409431753463994</stp>
        <tr r="L32" s="2"/>
      </tp>
      <tp t="e">
        <v>#N/A</v>
        <stp/>
        <stp>BDH|6302302956293026894</stp>
        <tr r="F27" s="2"/>
      </tp>
      <tp t="e">
        <v>#N/A</v>
        <stp/>
        <stp>BDH|8099578561134339483</stp>
        <tr r="J78" s="2"/>
      </tp>
      <tp t="e">
        <v>#N/A</v>
        <stp/>
        <stp>BDH|8328226190641870940</stp>
        <tr r="J25" s="4"/>
      </tp>
      <tp t="e">
        <v>#N/A</v>
        <stp/>
        <stp>BDH|8490878892314705643</stp>
        <tr r="H33" s="2"/>
      </tp>
      <tp t="e">
        <v>#N/A</v>
        <stp/>
        <stp>BDH|9760095847283838536</stp>
        <tr r="L89" s="2"/>
      </tp>
      <tp t="e">
        <v>#N/A</v>
        <stp/>
        <stp>BDH|8294312049570968416</stp>
        <tr r="I64" s="4"/>
      </tp>
      <tp t="e">
        <v>#N/A</v>
        <stp/>
        <stp>BDH|9674472092736230922</stp>
        <tr r="G40" s="2"/>
      </tp>
      <tp t="e">
        <v>#N/A</v>
        <stp/>
        <stp>BDH|3578539942800626913</stp>
        <tr r="D63" s="4"/>
      </tp>
      <tp t="e">
        <v>#N/A</v>
        <stp/>
        <stp>BDH|2052137865787195946</stp>
        <tr r="I28" s="4"/>
      </tp>
      <tp t="e">
        <v>#N/A</v>
        <stp/>
        <stp>BDH|4459806155645695778</stp>
        <tr r="J23" s="4"/>
      </tp>
      <tp t="e">
        <v>#N/A</v>
        <stp/>
        <stp>BDH|4665103782525753326</stp>
        <tr r="J77" s="2"/>
      </tp>
      <tp t="e">
        <v>#N/A</v>
        <stp/>
        <stp>BDH|5336273695650295528</stp>
        <tr r="H84" s="2"/>
      </tp>
      <tp t="e">
        <v>#N/A</v>
        <stp/>
        <stp>BDH|7678459782805310538</stp>
        <tr r="J26" s="2"/>
      </tp>
      <tp t="e">
        <v>#N/A</v>
        <stp/>
        <stp>BDH|7083081563283901953</stp>
        <tr r="C6" s="4"/>
      </tp>
      <tp t="e">
        <v>#N/A</v>
        <stp/>
        <stp>BDH|3148623866631753958</stp>
        <tr r="I73" s="2"/>
      </tp>
      <tp t="e">
        <v>#N/A</v>
        <stp/>
        <stp>BDH|8045789098754648928</stp>
        <tr r="L45" s="2"/>
      </tp>
      <tp t="e">
        <v>#N/A</v>
        <stp/>
        <stp>BDH|9467435904091143774</stp>
        <tr r="D29" s="4"/>
      </tp>
      <tp t="e">
        <v>#N/A</v>
        <stp/>
        <stp>BDH|7521949950480433001</stp>
        <tr r="I47" s="4"/>
      </tp>
      <tp t="e">
        <v>#N/A</v>
        <stp/>
        <stp>BDH|54396003930372532</stp>
        <tr r="K47" s="4"/>
      </tp>
      <tp t="e">
        <v>#N/A</v>
        <stp/>
        <stp>BDH|3901778272161373651</stp>
        <tr r="L23" s="2"/>
      </tp>
      <tp t="e">
        <v>#N/A</v>
        <stp/>
        <stp>BDH|5201159130005879640</stp>
        <tr r="J84" s="2"/>
      </tp>
      <tp t="e">
        <v>#N/A</v>
        <stp/>
        <stp>BDH|3929189835502588796</stp>
        <tr r="G85" s="2"/>
      </tp>
      <tp t="e">
        <v>#N/A</v>
        <stp/>
        <stp>BDH|5898764890036430929</stp>
        <tr r="C39" s="4"/>
      </tp>
      <tp t="e">
        <v>#N/A</v>
        <stp/>
        <stp>BDH|3021128764557835767</stp>
        <tr r="E60" s="2"/>
      </tp>
      <tp t="e">
        <v>#N/A</v>
        <stp/>
        <stp>BDH|5658082411281283153</stp>
        <tr r="L36" s="2"/>
      </tp>
      <tp t="e">
        <v>#N/A</v>
        <stp/>
        <stp>BDH|6134590442583017037</stp>
        <tr r="J27" s="2"/>
      </tp>
      <tp t="e">
        <v>#N/A</v>
        <stp/>
        <stp>BDH|1345343109944561220</stp>
        <tr r="E67" s="4"/>
      </tp>
      <tp t="e">
        <v>#N/A</v>
        <stp/>
        <stp>BDH|9757859508754463173</stp>
        <tr r="K74" s="2"/>
      </tp>
      <tp t="e">
        <v>#N/A</v>
        <stp/>
        <stp>BDH|9695102199760617579</stp>
        <tr r="G64" s="2"/>
      </tp>
      <tp t="e">
        <v>#N/A</v>
        <stp/>
        <stp>BDH|4354315673595625193</stp>
        <tr r="F33" s="4"/>
      </tp>
      <tp t="e">
        <v>#N/A</v>
        <stp/>
        <stp>BDH|2506337032177399196</stp>
        <tr r="E56" s="2"/>
      </tp>
      <tp t="e">
        <v>#N/A</v>
        <stp/>
        <stp>BDH|5774316258080291739</stp>
        <tr r="I93" s="2"/>
      </tp>
      <tp t="e">
        <v>#N/A</v>
        <stp/>
        <stp>BDH|1167773339744279525</stp>
        <tr r="J49" s="4"/>
      </tp>
      <tp t="e">
        <v>#N/A</v>
        <stp/>
        <stp>BDH|7101097721162428327</stp>
        <tr r="H22" s="4"/>
      </tp>
      <tp t="e">
        <v>#N/A</v>
        <stp/>
        <stp>BDH|2745719419326159612</stp>
        <tr r="D40" s="4"/>
      </tp>
      <tp t="e">
        <v>#N/A</v>
        <stp/>
        <stp>BDH|4578417541107944707</stp>
        <tr r="F21" s="4"/>
      </tp>
      <tp t="e">
        <v>#N/A</v>
        <stp/>
        <stp>BDH|8824974583195108812</stp>
        <tr r="D66" s="4"/>
      </tp>
      <tp t="e">
        <v>#N/A</v>
        <stp/>
        <stp>BDH|3494631969654742356</stp>
        <tr r="C59" s="4"/>
      </tp>
      <tp t="e">
        <v>#N/A</v>
        <stp/>
        <stp>BDH|1438508608043239327</stp>
        <tr r="F63" s="4"/>
      </tp>
      <tp t="e">
        <v>#N/A</v>
        <stp/>
        <stp>BDH|7093206644570049581</stp>
        <tr r="E61" s="4"/>
      </tp>
      <tp t="e">
        <v>#N/A</v>
        <stp/>
        <stp>BDH|5855526086678861491</stp>
        <tr r="J8" s="2"/>
      </tp>
      <tp t="e">
        <v>#N/A</v>
        <stp/>
        <stp>BDH|5035582556912538364</stp>
        <tr r="D60" s="2"/>
      </tp>
      <tp t="e">
        <v>#N/A</v>
        <stp/>
        <stp>BDH|2824502907564825747</stp>
        <tr r="K77" s="2"/>
      </tp>
      <tp t="e">
        <v>#N/A</v>
        <stp/>
        <stp>BDH|1955589038860849327</stp>
        <tr r="L94" s="2"/>
      </tp>
      <tp t="e">
        <v>#N/A</v>
        <stp/>
        <stp>BDH|7768363643940850490</stp>
        <tr r="K28" s="2"/>
      </tp>
      <tp t="e">
        <v>#N/A</v>
        <stp/>
        <stp>BDH|7570454704831344670</stp>
        <tr r="I63" s="4"/>
      </tp>
      <tp t="e">
        <v>#N/A</v>
        <stp/>
        <stp>BDH|2569102801364753326</stp>
        <tr r="E68" s="4"/>
      </tp>
      <tp t="e">
        <v>#N/A</v>
        <stp/>
        <stp>BDH|5067609371460765077</stp>
        <tr r="D37" s="4"/>
      </tp>
      <tp t="e">
        <v>#N/A</v>
        <stp/>
        <stp>BDH|1556746805647767549</stp>
        <tr r="E15" s="4"/>
      </tp>
      <tp t="e">
        <v>#N/A</v>
        <stp/>
        <stp>BDH|5164445867342445121</stp>
        <tr r="F30" s="4"/>
      </tp>
      <tp t="e">
        <v>#N/A</v>
        <stp/>
        <stp>BDH|1145676446894570318</stp>
        <tr r="G36" s="4"/>
      </tp>
      <tp t="e">
        <v>#N/A</v>
        <stp/>
        <stp>BDH|6449086432938956939</stp>
        <tr r="D20" s="4"/>
      </tp>
      <tp t="e">
        <v>#N/A</v>
        <stp/>
        <stp>BDH|5430473038924937263</stp>
        <tr r="I72" s="2"/>
      </tp>
      <tp t="e">
        <v>#N/A</v>
        <stp/>
        <stp>BDH|6848280727696394403</stp>
        <tr r="I52" s="4"/>
      </tp>
      <tp t="e">
        <v>#N/A</v>
        <stp/>
        <stp>BDH|6567125517980834320</stp>
        <tr r="K26" s="4"/>
      </tp>
      <tp t="e">
        <v>#N/A</v>
        <stp/>
        <stp>BDH|6798958743896884827</stp>
        <tr r="E38" s="4"/>
      </tp>
      <tp t="e">
        <v>#N/A</v>
        <stp/>
        <stp>BDH|2732498397239124304</stp>
        <tr r="F18" s="2"/>
      </tp>
      <tp t="e">
        <v>#N/A</v>
        <stp/>
        <stp>BDH|3441745112686924629</stp>
        <tr r="K35" s="2"/>
      </tp>
      <tp t="e">
        <v>#N/A</v>
        <stp/>
        <stp>BDH|7975748115854703011</stp>
        <tr r="E27" s="2"/>
      </tp>
      <tp t="e">
        <v>#N/A</v>
        <stp/>
        <stp>BDH|8640003464833545896</stp>
        <tr r="I26" s="2"/>
      </tp>
      <tp t="e">
        <v>#N/A</v>
        <stp/>
        <stp>BDH|9919201302988113658</stp>
        <tr r="L47" s="2"/>
      </tp>
      <tp t="e">
        <v>#N/A</v>
        <stp/>
        <stp>BDH|9589855207813818700</stp>
        <tr r="E58" s="4"/>
      </tp>
      <tp t="e">
        <v>#N/A</v>
        <stp/>
        <stp>BDH|9611040584102213681</stp>
        <tr r="E21" s="4"/>
      </tp>
      <tp t="e">
        <v>#N/A</v>
        <stp/>
        <stp>BDH|2961360521695699343</stp>
        <tr r="C65" s="2"/>
      </tp>
      <tp t="e">
        <v>#N/A</v>
        <stp/>
        <stp>BDH|8292534215440087991</stp>
        <tr r="H37" s="4"/>
      </tp>
      <tp t="e">
        <v>#N/A</v>
        <stp/>
        <stp>BDH|8883810998579875543</stp>
        <tr r="K32" s="2"/>
      </tp>
      <tp t="e">
        <v>#N/A</v>
        <stp/>
        <stp>BDH|8142693437128959042</stp>
        <tr r="H28" s="4"/>
      </tp>
      <tp t="e">
        <v>#N/A</v>
        <stp/>
        <stp>BDH|2973597520160531067</stp>
        <tr r="K7" s="2"/>
      </tp>
      <tp t="e">
        <v>#N/A</v>
        <stp/>
        <stp>BDH|7162215835703174079</stp>
        <tr r="D53" s="4"/>
      </tp>
      <tp t="e">
        <v>#N/A</v>
        <stp/>
        <stp>BDH|5045955643129151476</stp>
        <tr r="E35" s="2"/>
      </tp>
      <tp t="e">
        <v>#N/A</v>
        <stp/>
        <stp>BDH|9464675687791162355</stp>
        <tr r="K68" s="4"/>
      </tp>
      <tp t="e">
        <v>#N/A</v>
        <stp/>
        <stp>BDH|6638144941021324712</stp>
        <tr r="F24" s="4"/>
      </tp>
      <tp t="e">
        <v>#N/A</v>
        <stp/>
        <stp>BDH|6631111021307432738</stp>
        <tr r="H32" s="2"/>
      </tp>
      <tp t="e">
        <v>#N/A</v>
        <stp/>
        <stp>BDH|7422287846457582398</stp>
        <tr r="I33" s="2"/>
      </tp>
      <tp t="e">
        <v>#N/A</v>
        <stp/>
        <stp>BDH|9391842402656282215</stp>
        <tr r="J87" s="2"/>
      </tp>
      <tp t="e">
        <v>#N/A</v>
        <stp/>
        <stp>BDH|6482204828102277185</stp>
        <tr r="E15" s="2"/>
      </tp>
      <tp t="e">
        <v>#N/A</v>
        <stp/>
        <stp>BDH|4565720654974346779</stp>
        <tr r="L33" s="2"/>
      </tp>
      <tp t="e">
        <v>#N/A</v>
        <stp/>
        <stp>BDH|5956899494267388608</stp>
        <tr r="H91" s="2"/>
      </tp>
      <tp t="e">
        <v>#N/A</v>
        <stp/>
        <stp>BDH|4793905442085742979</stp>
        <tr r="I37" s="4"/>
      </tp>
      <tp t="e">
        <v>#N/A</v>
        <stp/>
        <stp>BDH|9590931053019844989</stp>
        <tr r="K34" s="4"/>
      </tp>
      <tp t="e">
        <v>#N/A</v>
        <stp/>
        <stp>BDH|7200025016083087036</stp>
        <tr r="I89" s="2"/>
      </tp>
      <tp t="e">
        <v>#N/A</v>
        <stp/>
        <stp>BDH|4648770823733377749</stp>
        <tr r="K33" s="4"/>
      </tp>
      <tp t="e">
        <v>#N/A</v>
        <stp/>
        <stp>BDH|4823622860296778789</stp>
        <tr r="G68" s="4"/>
      </tp>
      <tp t="e">
        <v>#N/A</v>
        <stp/>
        <stp>BDH|71843104259544914</stp>
        <tr r="C70" s="2"/>
      </tp>
      <tp t="e">
        <v>#N/A</v>
        <stp/>
        <stp>BDH|14278881655763724</stp>
        <tr r="L11" s="2"/>
      </tp>
      <tp t="e">
        <v>#N/A</v>
        <stp/>
        <stp>BDH|2547358865251765089</stp>
        <tr r="J47" s="4"/>
      </tp>
      <tp t="e">
        <v>#N/A</v>
        <stp/>
        <stp>BDH|5800001210631675347</stp>
        <tr r="L12" s="2"/>
      </tp>
      <tp t="e">
        <v>#N/A</v>
        <stp/>
        <stp>BDH|2952104953475080503</stp>
        <tr r="H26" s="4"/>
      </tp>
      <tp t="e">
        <v>#N/A</v>
        <stp/>
        <stp>BDH|2987563631702092056</stp>
        <tr r="H67" s="2"/>
      </tp>
      <tp t="e">
        <v>#N/A</v>
        <stp/>
        <stp>BDH|8407094606867423975</stp>
        <tr r="J24" s="4"/>
      </tp>
      <tp t="e">
        <v>#N/A</v>
        <stp/>
        <stp>BDH|6659380546511717662</stp>
        <tr r="I21" s="4"/>
      </tp>
      <tp t="e">
        <v>#N/A</v>
        <stp/>
        <stp>BDH|9037606737459902373</stp>
        <tr r="D72" s="2"/>
      </tp>
      <tp t="e">
        <v>#N/A</v>
        <stp/>
        <stp>BDH|5232660128133560400</stp>
        <tr r="G65" s="2"/>
      </tp>
      <tp t="e">
        <v>#N/A</v>
        <stp/>
        <stp>BDH|5185503515987317091</stp>
        <tr r="K54" s="2"/>
      </tp>
      <tp t="e">
        <v>#N/A</v>
        <stp/>
        <stp>BDH|7369295227852491379</stp>
        <tr r="F14" s="4"/>
      </tp>
      <tp t="e">
        <v>#N/A</v>
        <stp/>
        <stp>BDH|3892863478192053881</stp>
        <tr r="J90" s="2"/>
      </tp>
      <tp t="e">
        <v>#N/A</v>
        <stp/>
        <stp>BDH|1467102063147835702</stp>
        <tr r="F17" s="2"/>
        <tr r="E9" s="3"/>
      </tp>
      <tp t="e">
        <v>#N/A</v>
        <stp/>
        <stp>BDH|9731461099443098178</stp>
        <tr r="K19" s="4"/>
      </tp>
      <tp t="e">
        <v>#N/A</v>
        <stp/>
        <stp>BDH|3473770897719914226</stp>
        <tr r="I9" s="4"/>
      </tp>
      <tp t="e">
        <v>#N/A</v>
        <stp/>
        <stp>BDH|6632783931525685159</stp>
        <tr r="D46" s="4"/>
      </tp>
      <tp t="e">
        <v>#N/A</v>
        <stp/>
        <stp>BDH|6014026761020684697</stp>
        <tr r="D38" s="2"/>
      </tp>
      <tp t="e">
        <v>#N/A</v>
        <stp/>
        <stp>BDH|8998209593131242449</stp>
        <tr r="E68" s="2"/>
      </tp>
      <tp t="e">
        <v>#N/A</v>
        <stp/>
        <stp>BDH|6570038309578165823</stp>
        <tr r="E19" s="4"/>
      </tp>
      <tp t="e">
        <v>#N/A</v>
        <stp/>
        <stp>BDH|8720225599601583449</stp>
        <tr r="L84" s="2"/>
      </tp>
      <tp t="e">
        <v>#N/A</v>
        <stp/>
        <stp>BDH|9144401171869050527</stp>
        <tr r="H8" s="4"/>
      </tp>
      <tp t="e">
        <v>#N/A</v>
        <stp/>
        <stp>BDH|7204374851105090278</stp>
        <tr r="L29" s="2"/>
      </tp>
      <tp t="e">
        <v>#N/A</v>
        <stp/>
        <stp>BDH|5518525611743144443</stp>
        <tr r="K52" s="2"/>
      </tp>
      <tp t="e">
        <v>#N/A</v>
        <stp/>
        <stp>BDH|2480260686726653811</stp>
        <tr r="I15" s="2"/>
      </tp>
      <tp t="e">
        <v>#N/A</v>
        <stp/>
        <stp>BDH|8581391882136504385</stp>
        <tr r="I24" s="2"/>
      </tp>
      <tp t="e">
        <v>#N/A</v>
        <stp/>
        <stp>BDH|1505397558966598728</stp>
        <tr r="E25" s="2"/>
      </tp>
      <tp t="e">
        <v>#N/A</v>
        <stp/>
        <stp>BDH|3147955059921862860</stp>
        <tr r="E64" s="4"/>
      </tp>
      <tp t="e">
        <v>#N/A</v>
        <stp/>
        <stp>BDH|1362914257453237870</stp>
        <tr r="K27" s="4"/>
      </tp>
      <tp t="e">
        <v>#N/A</v>
        <stp/>
        <stp>BDH|4356221202330005031</stp>
        <tr r="E22" s="4"/>
      </tp>
      <tp t="e">
        <v>#N/A</v>
        <stp/>
        <stp>BDH|8672177630498699474</stp>
        <tr r="C26" s="4"/>
      </tp>
      <tp t="e">
        <v>#N/A</v>
        <stp/>
        <stp>BDH|1281172826170018437</stp>
        <tr r="I64" s="2"/>
      </tp>
      <tp t="e">
        <v>#N/A</v>
        <stp/>
        <stp>BDH|7203933091525807489</stp>
        <tr r="D39" s="2"/>
      </tp>
      <tp t="e">
        <v>#N/A</v>
        <stp/>
        <stp>BDH|8171835569433360397</stp>
        <tr r="I7" s="4"/>
      </tp>
      <tp t="e">
        <v>#N/A</v>
        <stp/>
        <stp>BDH|6471285683832923877</stp>
        <tr r="D9" s="4"/>
      </tp>
      <tp t="e">
        <v>#N/A</v>
        <stp/>
        <stp>BDH|4563680780495928928</stp>
        <tr r="F68" s="4"/>
      </tp>
      <tp t="e">
        <v>#N/A</v>
        <stp/>
        <stp>BDH|2510718726486022744</stp>
        <tr r="D89" s="2"/>
      </tp>
      <tp t="e">
        <v>#N/A</v>
        <stp/>
        <stp>BDH|7881632179060420018</stp>
        <tr r="L57" s="2"/>
      </tp>
      <tp t="e">
        <v>#N/A</v>
        <stp/>
        <stp>BDH|5075709815216369318</stp>
        <tr r="K8" s="4"/>
      </tp>
      <tp t="e">
        <v>#N/A</v>
        <stp/>
        <stp>BDH|1286939570749532031</stp>
        <tr r="I11" s="2"/>
      </tp>
      <tp t="e">
        <v>#N/A</v>
        <stp/>
        <stp>BDH|4405078100717056541</stp>
        <tr r="G24" s="4"/>
      </tp>
      <tp t="e">
        <v>#N/A</v>
        <stp/>
        <stp>BDH|9504467820748398176</stp>
        <tr r="K52" s="4"/>
      </tp>
      <tp t="e">
        <v>#N/A</v>
        <stp/>
        <stp>BDH|5280530063065151543</stp>
        <tr r="I59" s="4"/>
      </tp>
      <tp t="e">
        <v>#N/A</v>
        <stp/>
        <stp>BDH|4331061215167687425</stp>
        <tr r="C65" s="4"/>
      </tp>
      <tp t="e">
        <v>#N/A</v>
        <stp/>
        <stp>BDH|3406435945546675309</stp>
        <tr r="I44" s="2"/>
      </tp>
      <tp t="e">
        <v>#N/A</v>
        <stp/>
        <stp>BDH|5995686858303490275</stp>
        <tr r="I10" s="2"/>
      </tp>
      <tp t="e">
        <v>#N/A</v>
        <stp/>
        <stp>BDH|2426205165480223193</stp>
        <tr r="K18" s="2"/>
      </tp>
      <tp t="e">
        <v>#N/A</v>
        <stp/>
        <stp>BDH|9337109257098821262</stp>
        <tr r="I41" s="2"/>
      </tp>
      <tp t="e">
        <v>#N/A</v>
        <stp/>
        <stp>BDH|8028842854872201084</stp>
        <tr r="F9" s="2"/>
      </tp>
      <tp t="e">
        <v>#N/A</v>
        <stp/>
        <stp>BDH|1151835185047558191</stp>
        <tr r="F83" s="2"/>
      </tp>
      <tp t="e">
        <v>#N/A</v>
        <stp/>
        <stp>BDH|3201787926992590312</stp>
        <tr r="D6" s="4"/>
      </tp>
      <tp t="e">
        <v>#N/A</v>
        <stp/>
        <stp>BDH|2480198866043471170</stp>
        <tr r="C67" s="4"/>
      </tp>
      <tp t="e">
        <v>#N/A</v>
        <stp/>
        <stp>BDH|2582259818804008205</stp>
        <tr r="F29" s="2"/>
      </tp>
      <tp t="e">
        <v>#N/A</v>
        <stp/>
        <stp>BDH|3817500136984202644</stp>
        <tr r="K18" s="4"/>
      </tp>
      <tp t="e">
        <v>#N/A</v>
        <stp/>
        <stp>BDH|7872999582025814428</stp>
        <tr r="H40" s="2"/>
      </tp>
      <tp t="e">
        <v>#N/A</v>
        <stp/>
        <stp>BDH|5710564544751487282</stp>
        <tr r="C7" s="4"/>
      </tp>
      <tp t="e">
        <v>#N/A</v>
        <stp/>
        <stp>BDH|4943635431380161642</stp>
        <tr r="D33" s="2"/>
      </tp>
      <tp t="e">
        <v>#N/A</v>
        <stp/>
        <stp>BDH|2466089660162304110</stp>
        <tr r="L24" s="2"/>
      </tp>
      <tp t="e">
        <v>#N/A</v>
        <stp/>
        <stp>BDH|4011475858977471549</stp>
        <tr r="H23" s="4"/>
      </tp>
      <tp t="e">
        <v>#N/A</v>
        <stp/>
        <stp>BDH|5423172217002943028</stp>
        <tr r="J16" s="2"/>
      </tp>
      <tp t="e">
        <v>#N/A</v>
        <stp/>
        <stp>BDH|8198243983682993726</stp>
        <tr r="C47" s="4"/>
      </tp>
      <tp t="e">
        <v>#N/A</v>
        <stp/>
        <stp>BDH|7599370918321234351</stp>
        <tr r="G39" s="2"/>
      </tp>
      <tp t="e">
        <v>#N/A</v>
        <stp/>
        <stp>BDH|1960506945464961389</stp>
        <tr r="I43" s="4"/>
      </tp>
      <tp t="e">
        <v>#N/A</v>
        <stp/>
        <stp>BDH|9211038893717820077</stp>
        <tr r="K6" s="4"/>
      </tp>
      <tp t="e">
        <v>#N/A</v>
        <stp/>
        <stp>BDH|4809291093260293822</stp>
        <tr r="J19" s="4"/>
      </tp>
      <tp t="e">
        <v>#N/A</v>
        <stp/>
        <stp>BDH|6046268967862544776</stp>
        <tr r="F35" s="2"/>
      </tp>
      <tp t="e">
        <v>#N/A</v>
        <stp/>
        <stp>BDH|6391486398005564953</stp>
        <tr r="F41" s="2"/>
      </tp>
      <tp t="e">
        <v>#N/A</v>
        <stp/>
        <stp>BDH|7427762112012098436</stp>
        <tr r="D94" s="2"/>
      </tp>
      <tp t="e">
        <v>#N/A</v>
        <stp/>
        <stp>BDH|1228207863583329123</stp>
        <tr r="E67" s="2"/>
      </tp>
      <tp t="e">
        <v>#N/A</v>
        <stp/>
        <stp>BDH|2378597448205744151</stp>
        <tr r="E60" s="4"/>
      </tp>
      <tp t="e">
        <v>#N/A</v>
        <stp/>
        <stp>BDH|5876072718524260750</stp>
        <tr r="I62" s="2"/>
      </tp>
      <tp t="e">
        <v>#N/A</v>
        <stp/>
        <stp>BDH|5706139250877283165</stp>
        <tr r="F7" s="2"/>
      </tp>
      <tp t="e">
        <v>#N/A</v>
        <stp/>
        <stp>BDH|2678828427587307806</stp>
        <tr r="K37" s="2"/>
      </tp>
      <tp t="e">
        <v>#N/A</v>
        <stp/>
        <stp>BDH|4177247240617741232</stp>
        <tr r="D76" s="2"/>
      </tp>
      <tp t="e">
        <v>#N/A</v>
        <stp/>
        <stp>BDH|5494439756152079106</stp>
        <tr r="I32" s="2"/>
      </tp>
      <tp t="e">
        <v>#N/A</v>
        <stp/>
        <stp>BDH|6216727119022839575</stp>
        <tr r="L54" s="2"/>
      </tp>
      <tp t="e">
        <v>#N/A</v>
        <stp/>
        <stp>BDH|3959543854340913467</stp>
        <tr r="H65" s="4"/>
      </tp>
      <tp t="e">
        <v>#N/A</v>
        <stp/>
        <stp>BDH|8425132449018065282</stp>
        <tr r="C38" s="2"/>
      </tp>
      <tp t="e">
        <v>#N/A</v>
        <stp/>
        <stp>BDH|4485306171257697052</stp>
        <tr r="F69" s="2"/>
      </tp>
      <tp t="e">
        <v>#N/A</v>
        <stp/>
        <stp>BDH|6009628984679907698</stp>
        <tr r="I70" s="2"/>
      </tp>
      <tp t="e">
        <v>#N/A</v>
        <stp/>
        <stp>BDH|8057811301900394752</stp>
        <tr r="F32" s="4"/>
        <tr r="F44" s="4"/>
      </tp>
      <tp t="e">
        <v>#N/A</v>
        <stp/>
        <stp>BDH|1433423754526731138</stp>
        <tr r="G58" s="2"/>
      </tp>
      <tp t="e">
        <v>#N/A</v>
        <stp/>
        <stp>BDH|5332190557011855725</stp>
        <tr r="D67" s="4"/>
      </tp>
      <tp t="e">
        <v>#N/A</v>
        <stp/>
        <stp>BDH|6254838373169648732</stp>
        <tr r="D47" s="4"/>
      </tp>
      <tp t="e">
        <v>#N/A</v>
        <stp/>
        <stp>BDH|3359764608456849515</stp>
        <tr r="H62" s="2"/>
      </tp>
      <tp t="e">
        <v>#N/A</v>
        <stp/>
        <stp>BDH|7142294838914577513</stp>
        <tr r="H90" s="2"/>
      </tp>
      <tp t="e">
        <v>#N/A</v>
        <stp/>
        <stp>BDH|4342411802321571606</stp>
        <tr r="C34" s="4"/>
      </tp>
      <tp t="e">
        <v>#N/A</v>
        <stp/>
        <stp>BDH|6288737661955072556</stp>
        <tr r="E79" s="2"/>
      </tp>
      <tp t="e">
        <v>#N/A</v>
        <stp/>
        <stp>BDH|2335192333426340601</stp>
        <tr r="C40" s="2"/>
      </tp>
      <tp t="e">
        <v>#N/A</v>
        <stp/>
        <stp>BDH|2769091256751434666</stp>
        <tr r="G40" s="4"/>
      </tp>
      <tp t="e">
        <v>#N/A</v>
        <stp/>
        <stp>BDH|5101296213020980682</stp>
        <tr r="J54" s="2"/>
      </tp>
      <tp t="e">
        <v>#N/A</v>
        <stp/>
        <stp>BDH|5525392997257697868</stp>
        <tr r="E37" s="4"/>
      </tp>
      <tp t="e">
        <v>#N/A</v>
        <stp/>
        <stp>BDH|9248994560775754375</stp>
        <tr r="K56" s="2"/>
      </tp>
      <tp t="e">
        <v>#N/A</v>
        <stp/>
        <stp>BDH|6943188479068090833</stp>
        <tr r="J76" s="2"/>
      </tp>
      <tp t="e">
        <v>#N/A</v>
        <stp/>
        <stp>BDH|5379214875868822845</stp>
        <tr r="D58" s="2"/>
      </tp>
      <tp t="e">
        <v>#N/A</v>
        <stp/>
        <stp>BDH|7581792466881170734</stp>
        <tr r="E47" s="4"/>
      </tp>
      <tp t="e">
        <v>#N/A</v>
        <stp/>
        <stp>BDH|2547851100369158393</stp>
        <tr r="K88" s="2"/>
      </tp>
      <tp t="e">
        <v>#N/A</v>
        <stp/>
        <stp>BDH|8207687633705508846</stp>
        <tr r="D88" s="2"/>
      </tp>
      <tp t="e">
        <v>#N/A</v>
        <stp/>
        <stp>BDH|3534711910035907058</stp>
        <tr r="H31" s="4"/>
      </tp>
      <tp t="e">
        <v>#N/A</v>
        <stp/>
        <stp>BDH|6311767753935699193</stp>
        <tr r="E11" s="2"/>
      </tp>
      <tp t="e">
        <v>#N/A</v>
        <stp/>
        <stp>BDH|9532861039843580165</stp>
        <tr r="F29" s="4"/>
      </tp>
      <tp t="e">
        <v>#N/A</v>
        <stp/>
        <stp>BDH|1269789760709671955</stp>
        <tr r="F90" s="2"/>
      </tp>
      <tp t="e">
        <v>#N/A</v>
        <stp/>
        <stp>BDH|9082675424245929833</stp>
        <tr r="L66" s="2"/>
      </tp>
      <tp t="e">
        <v>#N/A</v>
        <stp/>
        <stp>BDH|7693700618672734374</stp>
        <tr r="D50" s="2"/>
      </tp>
      <tp t="e">
        <v>#N/A</v>
        <stp/>
        <stp>BDH|3284140060320091490</stp>
        <tr r="C89" s="2"/>
      </tp>
      <tp t="e">
        <v>#N/A</v>
        <stp/>
        <stp>BDH|3325498650143568101</stp>
        <tr r="D35" s="4"/>
      </tp>
      <tp t="e">
        <v>#N/A</v>
        <stp/>
        <stp>BDH|9687808338987420568</stp>
        <tr r="K25" s="2"/>
      </tp>
      <tp t="e">
        <v>#N/A</v>
        <stp/>
        <stp>BDH|2042381510587668723</stp>
        <tr r="L56" s="2"/>
      </tp>
      <tp t="e">
        <v>#N/A</v>
        <stp/>
        <stp>BDH|4956348808337994002</stp>
        <tr r="C44" s="2"/>
      </tp>
      <tp t="e">
        <v>#N/A</v>
        <stp/>
        <stp>BDH|8696886963850943686</stp>
        <tr r="F35" s="4"/>
      </tp>
      <tp t="e">
        <v>#N/A</v>
        <stp/>
        <stp>BDH|6927188018292908428</stp>
        <tr r="H30" s="4"/>
      </tp>
      <tp t="e">
        <v>#N/A</v>
        <stp/>
        <stp>BDH|2125757806744265120</stp>
        <tr r="C32" s="4"/>
        <tr r="C44" s="4"/>
      </tp>
      <tp t="e">
        <v>#N/A</v>
        <stp/>
        <stp>BDH|2402032471425374078</stp>
        <tr r="C11" s="4"/>
      </tp>
      <tp t="e">
        <v>#N/A</v>
        <stp/>
        <stp>BDH|1495033972725376342</stp>
        <tr r="G28" s="2"/>
      </tp>
      <tp t="e">
        <v>#N/A</v>
        <stp/>
        <stp>BDH|5677572276663106449</stp>
        <tr r="H68" s="4"/>
      </tp>
      <tp t="e">
        <v>#N/A</v>
        <stp/>
        <stp>BDH|9149096087832408394</stp>
        <tr r="E18" s="4"/>
      </tp>
      <tp t="e">
        <v>#N/A</v>
        <stp/>
        <stp>BDH|4805566575365164394</stp>
        <tr r="D61" s="4"/>
      </tp>
      <tp t="e">
        <v>#N/A</v>
        <stp/>
        <stp>BDH|4642720824113495276</stp>
        <tr r="F64" s="4"/>
      </tp>
      <tp t="e">
        <v>#N/A</v>
        <stp/>
        <stp>BDH|6705675019880332194</stp>
        <tr r="D8" s="2"/>
      </tp>
      <tp t="e">
        <v>#N/A</v>
        <stp/>
        <stp>BDH|2109447046716425470</stp>
        <tr r="I92" s="2"/>
      </tp>
      <tp t="e">
        <v>#N/A</v>
        <stp/>
        <stp>BDH|8053934986370552901</stp>
        <tr r="L48" s="2"/>
      </tp>
      <tp t="e">
        <v>#N/A</v>
        <stp/>
        <stp>BDH|9366954294011148821</stp>
        <tr r="G32" s="2"/>
      </tp>
      <tp t="e">
        <v>#N/A</v>
        <stp/>
        <stp>BDH|1363019081600215901</stp>
        <tr r="K53" s="4"/>
      </tp>
      <tp t="e">
        <v>#N/A</v>
        <stp/>
        <stp>BDH|1050339345642035470</stp>
        <tr r="J59" s="4"/>
      </tp>
      <tp t="e">
        <v>#N/A</v>
        <stp/>
        <stp>BDH|6408288139854726347</stp>
        <tr r="L13" s="2"/>
      </tp>
      <tp t="e">
        <v>#N/A</v>
        <stp/>
        <stp>BDH|3349610846192695358</stp>
        <tr r="I17" s="2"/>
        <tr r="H9" s="3"/>
      </tp>
      <tp t="e">
        <v>#N/A</v>
        <stp/>
        <stp>BDH|8226244546166274864</stp>
        <tr r="F32" s="2"/>
      </tp>
      <tp t="e">
        <v>#N/A</v>
        <stp/>
        <stp>BDH|5067139953022200370</stp>
        <tr r="L91" s="2"/>
      </tp>
      <tp t="e">
        <v>#N/A</v>
        <stp/>
        <stp>BDH|4721701209702243069</stp>
        <tr r="L86" s="2"/>
      </tp>
      <tp t="e">
        <v>#N/A</v>
        <stp/>
        <stp>BDH|5660879708228796457</stp>
        <tr r="I24" s="4"/>
      </tp>
      <tp t="e">
        <v>#N/A</v>
        <stp/>
        <stp>BDH|2257329129531027329</stp>
        <tr r="H9" s="4"/>
      </tp>
      <tp t="e">
        <v>#N/A</v>
        <stp/>
        <stp>BDH|5101587102079951899</stp>
        <tr r="K46" s="2"/>
      </tp>
      <tp t="e">
        <v>#N/A</v>
        <stp/>
        <stp>BDH|4016201678870184010</stp>
        <tr r="G30" s="4"/>
      </tp>
      <tp t="e">
        <v>#N/A</v>
        <stp/>
        <stp>BDH|7257561212996863460</stp>
        <tr r="I60" s="4"/>
      </tp>
      <tp t="e">
        <v>#N/A</v>
        <stp/>
        <stp>BDH|7883544764074485149</stp>
        <tr r="L76" s="2"/>
      </tp>
      <tp t="e">
        <v>#N/A</v>
        <stp/>
        <stp>BDH|5412276919975411260</stp>
        <tr r="F67" s="4"/>
      </tp>
      <tp t="e">
        <v>#N/A</v>
        <stp/>
        <stp>BDH|6999915038784034991</stp>
        <tr r="J46" s="2"/>
      </tp>
      <tp t="e">
        <v>#N/A</v>
        <stp/>
        <stp>BDH|3091293579765961200</stp>
        <tr r="F87" s="2"/>
      </tp>
      <tp t="e">
        <v>#N/A</v>
        <stp/>
        <stp>BDH|4897229610354597265</stp>
        <tr r="E39" s="2"/>
      </tp>
      <tp t="e">
        <v>#N/A</v>
        <stp/>
        <stp>BDH|8365643877548799089</stp>
        <tr r="I13" s="4"/>
      </tp>
      <tp t="e">
        <v>#N/A</v>
        <stp/>
        <stp>BDH|9653695033465596868</stp>
        <tr r="K39" s="2"/>
      </tp>
      <tp t="e">
        <v>#N/A</v>
        <stp/>
        <stp>BDH|5719276002467807169</stp>
        <tr r="J60" s="4"/>
      </tp>
      <tp t="e">
        <v>#N/A</v>
        <stp/>
        <stp>BDH|6644846947352921912</stp>
        <tr r="J26" s="4"/>
      </tp>
      <tp t="e">
        <v>#N/A</v>
        <stp/>
        <stp>BDH|7886231916745339038</stp>
        <tr r="J89" s="2"/>
      </tp>
      <tp t="e">
        <v>#N/A</v>
        <stp/>
        <stp>BDH|9860714782200714715</stp>
        <tr r="G17" s="4"/>
      </tp>
      <tp t="e">
        <v>#N/A</v>
        <stp/>
        <stp>BDH|1242881601370474829</stp>
        <tr r="F10" s="4"/>
      </tp>
      <tp t="e">
        <v>#N/A</v>
        <stp/>
        <stp>BDH|1834518688634420984</stp>
        <tr r="F65" s="2"/>
      </tp>
      <tp t="e">
        <v>#N/A</v>
        <stp/>
        <stp>BDH|2930664766547479409</stp>
        <tr r="I54" s="2"/>
      </tp>
      <tp t="e">
        <v>#N/A</v>
        <stp/>
        <stp>BDH|9101703629239066458</stp>
        <tr r="E45" s="2"/>
      </tp>
      <tp t="e">
        <v>#N/A</v>
        <stp/>
        <stp>BDH|3775224968715745381</stp>
        <tr r="K65" s="2"/>
      </tp>
      <tp t="e">
        <v>#N/A</v>
        <stp/>
        <stp>BDH|3633325337227269537</stp>
        <tr r="D27" s="2"/>
      </tp>
      <tp t="e">
        <v>#N/A</v>
        <stp/>
        <stp>BDH|1533955734092666826</stp>
        <tr r="J29" s="4"/>
      </tp>
      <tp t="e">
        <v>#N/A</v>
        <stp/>
        <stp>BDH|1666326926976776754</stp>
        <tr r="C88" s="2"/>
      </tp>
      <tp t="e">
        <v>#N/A</v>
        <stp/>
        <stp>BDH|1712308920192156362</stp>
        <tr r="F72" s="2"/>
      </tp>
      <tp t="e">
        <v>#N/A</v>
        <stp/>
        <stp>BDH|7433436787803720964</stp>
        <tr r="I22" s="4"/>
      </tp>
      <tp t="e">
        <v>#N/A</v>
        <stp/>
        <stp>BDH|4297431982548103136</stp>
        <tr r="G34" s="4"/>
      </tp>
      <tp t="e">
        <v>#N/A</v>
        <stp/>
        <stp>BDH|8359980326840940255</stp>
        <tr r="G10" s="4"/>
      </tp>
      <tp t="e">
        <v>#N/A</v>
        <stp/>
        <stp>BDH|4877110225482202487</stp>
        <tr r="C33" s="2"/>
      </tp>
      <tp t="e">
        <v>#N/A</v>
        <stp/>
        <stp>BDH|2705389145051848549</stp>
        <tr r="H85" s="2"/>
      </tp>
      <tp t="e">
        <v>#N/A</v>
        <stp/>
        <stp>BDH|8668201848769963611</stp>
        <tr r="I39" s="2"/>
      </tp>
      <tp t="e">
        <v>#N/A</v>
        <stp/>
        <stp>BDH|5141944445878061176</stp>
        <tr r="F67" s="2"/>
      </tp>
      <tp t="e">
        <v>#N/A</v>
        <stp/>
        <stp>BDH|4766285018207792175</stp>
        <tr r="H20" s="4"/>
      </tp>
      <tp t="e">
        <v>#N/A</v>
        <stp/>
        <stp>BDH|7897565645235862246</stp>
        <tr r="E34" s="2"/>
      </tp>
      <tp t="e">
        <v>#N/A</v>
        <stp/>
        <stp>BDH|9798559580855046052</stp>
        <tr r="F18" s="4"/>
      </tp>
      <tp t="e">
        <v>#N/A</v>
        <stp/>
        <stp>BDH|6231235755009049909</stp>
        <tr r="C85" s="2"/>
      </tp>
      <tp t="e">
        <v>#N/A</v>
        <stp/>
        <stp>BDH|7118835408908693563</stp>
        <tr r="E11" s="4"/>
      </tp>
      <tp t="e">
        <v>#N/A</v>
        <stp/>
        <stp>BDH|9514882426268195907</stp>
        <tr r="H53" s="4"/>
      </tp>
      <tp t="e">
        <v>#N/A</v>
        <stp/>
        <stp>BDH|5136453751554920275</stp>
        <tr r="E10" s="2"/>
      </tp>
      <tp t="e">
        <v>#N/A</v>
        <stp/>
        <stp>BDH|2613091298138825149</stp>
        <tr r="H48" s="4"/>
      </tp>
      <tp t="e">
        <v>#N/A</v>
        <stp/>
        <stp>BDH|8669120008643791805</stp>
        <tr r="K24" s="2"/>
      </tp>
      <tp t="e">
        <v>#N/A</v>
        <stp/>
        <stp>BDH|7571207797438926608</stp>
        <tr r="E39" s="4"/>
      </tp>
      <tp t="e">
        <v>#N/A</v>
        <stp/>
        <stp>BDH|4444572499408107233</stp>
        <tr r="F63" s="2"/>
      </tp>
      <tp t="e">
        <v>#N/A</v>
        <stp/>
        <stp>BDH|8294924468202652772</stp>
        <tr r="K85" s="2"/>
      </tp>
      <tp t="e">
        <v>#N/A</v>
        <stp/>
        <stp>BDH|8771129819972362817</stp>
        <tr r="I68" s="2"/>
      </tp>
      <tp t="e">
        <v>#N/A</v>
        <stp/>
        <stp>BDH|2175499395269032436</stp>
        <tr r="K11" s="4"/>
      </tp>
      <tp t="e">
        <v>#N/A</v>
        <stp/>
        <stp>BDH|5323945616077950873</stp>
        <tr r="G29" s="4"/>
      </tp>
      <tp t="e">
        <v>#N/A</v>
        <stp/>
        <stp>BDH|2994469317085534022</stp>
        <tr r="I7" s="2"/>
      </tp>
      <tp t="e">
        <v>#N/A</v>
        <stp/>
        <stp>BDH|8187376922808275392</stp>
        <tr r="J40" s="4"/>
      </tp>
      <tp t="e">
        <v>#N/A</v>
        <stp/>
        <stp>BDH|3995442393069389525</stp>
        <tr r="K91" s="2"/>
      </tp>
      <tp t="e">
        <v>#N/A</v>
        <stp/>
        <stp>BDH|7238491112325021565</stp>
        <tr r="E65" s="4"/>
      </tp>
      <tp t="e">
        <v>#N/A</v>
        <stp/>
        <stp>BDH|7109733504893917102</stp>
        <tr r="D92" s="2"/>
      </tp>
      <tp t="e">
        <v>#N/A</v>
        <stp/>
        <stp>BDH|7196793920182159250</stp>
        <tr r="L60" s="2"/>
      </tp>
      <tp t="e">
        <v>#N/A</v>
        <stp/>
        <stp>BDH|2085987604590287933</stp>
        <tr r="H68" s="2"/>
      </tp>
      <tp t="e">
        <v>#N/A</v>
        <stp/>
        <stp>BDH|4931647125597101543</stp>
        <tr r="F58" s="4"/>
      </tp>
      <tp t="e">
        <v>#N/A</v>
        <stp/>
        <stp>BDH|8394240606100422880</stp>
        <tr r="F46" s="4"/>
      </tp>
      <tp t="e">
        <v>#N/A</v>
        <stp/>
        <stp>BDH|2384945985250485144</stp>
        <tr r="K26" s="2"/>
      </tp>
      <tp t="e">
        <v>#N/A</v>
        <stp/>
        <stp>BDH|3118616758281263381</stp>
        <tr r="J33" s="2"/>
      </tp>
      <tp t="e">
        <v>#N/A</v>
        <stp/>
        <stp>BDH|9264476870460057876</stp>
        <tr r="G92" s="2"/>
      </tp>
      <tp t="e">
        <v>#N/A</v>
        <stp/>
        <stp>BDH|1978553203010510682</stp>
        <tr r="K19" s="2"/>
      </tp>
      <tp t="e">
        <v>#N/A</v>
        <stp/>
        <stp>BDH|2617620561448215844</stp>
        <tr r="C42" s="4"/>
      </tp>
      <tp t="e">
        <v>#N/A</v>
        <stp/>
        <stp>BDH|7878284327611234461</stp>
        <tr r="C64" s="4"/>
      </tp>
      <tp t="e">
        <v>#N/A</v>
        <stp/>
        <stp>BDH|4609817024898327434</stp>
        <tr r="F56" s="2"/>
      </tp>
      <tp t="e">
        <v>#N/A</v>
        <stp/>
        <stp>BDH|1849654643840436195</stp>
        <tr r="G26" s="2"/>
      </tp>
      <tp t="e">
        <v>#N/A</v>
        <stp/>
        <stp>BDH|8393831544756069077</stp>
        <tr r="H63" s="4"/>
      </tp>
      <tp t="e">
        <v>#N/A</v>
        <stp/>
        <stp>BDH|4738599651912643498</stp>
        <tr r="L71" s="2"/>
      </tp>
      <tp t="e">
        <v>#N/A</v>
        <stp/>
        <stp>BDH|3012790824846995253</stp>
        <tr r="H16" s="2"/>
      </tp>
      <tp t="e">
        <v>#N/A</v>
        <stp/>
        <stp>BDH|4647658406652041246</stp>
        <tr r="I88" s="2"/>
      </tp>
      <tp t="e">
        <v>#N/A</v>
        <stp/>
        <stp>BDH|9366756745091179951</stp>
        <tr r="C12" s="4"/>
      </tp>
      <tp t="e">
        <v>#N/A</v>
        <stp/>
        <stp>BDH|5166319375795244601</stp>
        <tr r="C28" s="4"/>
      </tp>
      <tp t="e">
        <v>#N/A</v>
        <stp/>
        <stp>BDH|8248937099173868978</stp>
        <tr r="E28" s="2"/>
      </tp>
      <tp t="e">
        <v>#N/A</v>
        <stp/>
        <stp>BDH|3375373280412387804</stp>
        <tr r="D49" s="4"/>
      </tp>
      <tp t="e">
        <v>#N/A</v>
        <stp/>
        <stp>BDH|5597245953988369843</stp>
        <tr r="J12" s="4"/>
      </tp>
      <tp t="e">
        <v>#N/A</v>
        <stp/>
        <stp>BDH|8929053547839876766</stp>
        <tr r="G10" s="2"/>
      </tp>
      <tp t="e">
        <v>#N/A</v>
        <stp/>
        <stp>BDH|1897122358011154796</stp>
        <tr r="G66" s="4"/>
      </tp>
      <tp t="e">
        <v>#N/A</v>
        <stp/>
        <stp>BDH|1918650547538083813</stp>
        <tr r="F88" s="2"/>
      </tp>
      <tp t="e">
        <v>#N/A</v>
        <stp/>
        <stp>BDH|4108742743601450593</stp>
        <tr r="G56" s="2"/>
      </tp>
      <tp t="e">
        <v>#N/A</v>
        <stp/>
        <stp>BDH|2288036353144137089</stp>
        <tr r="D14" s="2"/>
      </tp>
      <tp t="e">
        <v>#N/A</v>
        <stp/>
        <stp>BDH|4002279350704470483</stp>
        <tr r="I27" s="2"/>
      </tp>
      <tp t="e">
        <v>#N/A</v>
        <stp/>
        <stp>BDH|6064946583416519298</stp>
        <tr r="K17" s="2"/>
        <tr r="J9" s="3"/>
      </tp>
      <tp t="e">
        <v>#N/A</v>
        <stp/>
        <stp>BDH|9967581768659499059</stp>
        <tr r="K22" s="4"/>
      </tp>
      <tp t="e">
        <v>#N/A</v>
        <stp/>
        <stp>BDH|1682893996467562448</stp>
        <tr r="I49" s="2"/>
      </tp>
      <tp t="e">
        <v>#N/A</v>
        <stp/>
        <stp>BDH|8781288021678269346</stp>
        <tr r="F65" s="4"/>
      </tp>
      <tp t="e">
        <v>#N/A</v>
        <stp/>
        <stp>BDH|7096464552883504683</stp>
        <tr r="C9" s="2"/>
      </tp>
      <tp t="e">
        <v>#N/A</v>
        <stp/>
        <stp>BDH|8453185346228181653</stp>
        <tr r="H61" s="4"/>
      </tp>
      <tp t="e">
        <v>#N/A</v>
        <stp/>
        <stp>BDH|9780502068731165801</stp>
        <tr r="I94" s="2"/>
      </tp>
      <tp t="e">
        <v>#N/A</v>
        <stp/>
        <stp>BDH|3660628122034140095</stp>
        <tr r="J56" s="2"/>
      </tp>
      <tp t="e">
        <v>#N/A</v>
        <stp/>
        <stp>BDH|6032746478012653751</stp>
        <tr r="J28" s="2"/>
      </tp>
      <tp t="e">
        <v>#N/A</v>
        <stp/>
        <stp>BDH|9945290957938091581</stp>
        <tr r="I46" s="4"/>
      </tp>
      <tp t="e">
        <v>#N/A</v>
        <stp/>
        <stp>BDH|7794787483202586956</stp>
        <tr r="F7" s="4"/>
      </tp>
      <tp t="e">
        <v>#N/A</v>
        <stp/>
        <stp>BDH|3885358120204972582</stp>
        <tr r="D30" s="4"/>
      </tp>
      <tp t="e">
        <v>#N/A</v>
        <stp/>
        <stp>BDH|6412593859801161492</stp>
        <tr r="K33" s="2"/>
      </tp>
      <tp t="e">
        <v>#N/A</v>
        <stp/>
        <stp>BDH|4807020864404071537</stp>
        <tr r="C66" s="4"/>
      </tp>
      <tp t="e">
        <v>#N/A</v>
        <stp/>
        <stp>BDH|6489213439990596442</stp>
        <tr r="D36" s="4"/>
      </tp>
      <tp t="e">
        <v>#N/A</v>
        <stp/>
        <stp>BDH|9581808104204425688</stp>
        <tr r="E51" s="2"/>
      </tp>
      <tp t="e">
        <v>#N/A</v>
        <stp/>
        <stp>BDH|3191452708746450252</stp>
        <tr r="I87" s="2"/>
      </tp>
      <tp t="e">
        <v>#N/A</v>
        <stp/>
        <stp>BDH|4423526481253123942</stp>
        <tr r="I42" s="4"/>
      </tp>
      <tp t="e">
        <v>#N/A</v>
        <stp/>
        <stp>BDH|2449466070834511651</stp>
        <tr r="G11" s="2"/>
      </tp>
      <tp t="e">
        <v>#N/A</v>
        <stp/>
        <stp>BDH|2738020131560486221</stp>
        <tr r="F85" s="2"/>
      </tp>
      <tp t="e">
        <v>#N/A</v>
        <stp/>
        <stp>BDH|5381372137275427348</stp>
        <tr r="G67" s="2"/>
      </tp>
      <tp t="e">
        <v>#N/A</v>
        <stp/>
        <stp>BDH|2228064238251737385</stp>
        <tr r="G43" s="4"/>
      </tp>
      <tp t="e">
        <v>#N/A</v>
        <stp/>
        <stp>BDH|3048179303510790104</stp>
        <tr r="K21" s="4"/>
      </tp>
      <tp t="e">
        <v>#N/A</v>
        <stp/>
        <stp>BDH|5940121648386192519</stp>
        <tr r="G41" s="2"/>
      </tp>
      <tp t="e">
        <v>#N/A</v>
        <stp/>
        <stp>BDH|4861185063854405441</stp>
        <tr r="J71" s="2"/>
      </tp>
      <tp t="e">
        <v>#N/A</v>
        <stp/>
        <stp>BDH|9868232958794201912</stp>
        <tr r="J68" s="4"/>
      </tp>
      <tp t="e">
        <v>#N/A</v>
        <stp/>
        <stp>BDH|1522465931083456661</stp>
        <tr r="K54" s="4"/>
      </tp>
      <tp t="e">
        <v>#N/A</v>
        <stp/>
        <stp>BDH|4197139273549444856</stp>
        <tr r="E48" s="2"/>
      </tp>
      <tp t="e">
        <v>#N/A</v>
        <stp/>
        <stp>BDH|2646200246176280120</stp>
        <tr r="G28" s="4"/>
      </tp>
      <tp t="e">
        <v>#N/A</v>
        <stp/>
        <stp>BDH|7500144724342330504</stp>
        <tr r="H18" s="4"/>
      </tp>
      <tp t="e">
        <v>#N/A</v>
        <stp/>
        <stp>BDH|9071186569535448830</stp>
        <tr r="C92" s="2"/>
      </tp>
      <tp t="e">
        <v>#N/A</v>
        <stp/>
        <stp>BDH|1719963687771647264</stp>
        <tr r="I58" s="4"/>
      </tp>
      <tp t="e">
        <v>#N/A</v>
        <stp/>
        <stp>BDH|1141932028130969955</stp>
        <tr r="F57" s="2"/>
      </tp>
      <tp t="e">
        <v>#N/A</v>
        <stp/>
        <stp>BDH|6668050295964400848</stp>
        <tr r="C14" s="2"/>
      </tp>
      <tp t="e">
        <v>#N/A</v>
        <stp/>
        <stp>BDH|5105228109215821143</stp>
        <tr r="J51" s="4"/>
      </tp>
      <tp t="e">
        <v>#N/A</v>
        <stp/>
        <stp>BDH|1162068740237125114</stp>
        <tr r="C29" s="4"/>
      </tp>
      <tp t="e">
        <v>#N/A</v>
        <stp/>
        <stp>BDH|6157892311649962546</stp>
        <tr r="K86" s="2"/>
      </tp>
      <tp t="e">
        <v>#N/A</v>
        <stp/>
        <stp>BDH|8494813163661090426</stp>
        <tr r="H16" s="4"/>
      </tp>
      <tp t="e">
        <v>#N/A</v>
        <stp/>
        <stp>BDH|9615456850352154965</stp>
        <tr r="G61" s="4"/>
      </tp>
      <tp t="e">
        <v>#N/A</v>
        <stp/>
        <stp>BDH|6790740815551356212</stp>
        <tr r="I91" s="2"/>
      </tp>
      <tp t="e">
        <v>#N/A</v>
        <stp/>
        <stp>BDH|6761036468456030590</stp>
        <tr r="G33" s="4"/>
      </tp>
      <tp t="e">
        <v>#N/A</v>
        <stp/>
        <stp>BDH|7920567611841361186</stp>
        <tr r="K13" s="2"/>
      </tp>
      <tp t="e">
        <v>#N/A</v>
        <stp/>
        <stp>BDH|31545803648866353</stp>
        <tr r="J9" s="4"/>
      </tp>
      <tp t="e">
        <v>#N/A</v>
        <stp/>
        <stp>BDH|968659223508098915</stp>
        <tr r="C58" s="4"/>
      </tp>
      <tp t="e">
        <v>#N/A</v>
        <stp/>
        <stp>BDH|108197645304497426</stp>
        <tr r="H34" s="2"/>
      </tp>
      <tp t="e">
        <v>#N/A</v>
        <stp/>
        <stp>BDH|724431559934872051</stp>
        <tr r="C10" s="4"/>
      </tp>
      <tp t="e">
        <v>#N/A</v>
        <stp/>
        <stp>BDH|620714541385220379</stp>
        <tr r="F38" s="4"/>
      </tp>
      <tp t="e">
        <v>#N/A</v>
        <stp/>
        <stp>BDH|278665561457912302</stp>
        <tr r="C60" s="2"/>
      </tp>
      <tp t="e">
        <v>#N/A</v>
        <stp/>
        <stp>BDH|599212729696656265</stp>
        <tr r="L73" s="2"/>
      </tp>
      <tp t="e">
        <v>#N/A</v>
        <stp/>
        <stp>BDH|891150945996442781</stp>
        <tr r="D87" s="2"/>
      </tp>
      <tp t="e">
        <v>#N/A</v>
        <stp/>
        <stp>BDH|764721402251473263</stp>
        <tr r="J17" s="4"/>
      </tp>
      <tp t="e">
        <v>#N/A</v>
        <stp/>
        <stp>BDH|946991673608794187</stp>
        <tr r="K31" s="2"/>
      </tp>
      <tp t="e">
        <v>#N/A</v>
        <stp/>
        <stp>BDH|235458529477626666</stp>
        <tr r="F31" s="4"/>
      </tp>
      <tp t="e">
        <v>#N/A</v>
        <stp/>
        <stp>BDH|872237983459209402</stp>
        <tr r="H44" s="4"/>
        <tr r="H32" s="4"/>
      </tp>
      <tp t="e">
        <v>#N/A</v>
        <stp/>
        <stp>BDH|929246877440161203</stp>
        <tr r="F28" s="2"/>
      </tp>
      <tp t="e">
        <v>#N/A</v>
        <stp/>
        <stp>BDH|907453965210890570</stp>
        <tr r="I65" s="2"/>
      </tp>
      <tp t="e">
        <v>#N/A</v>
        <stp/>
        <stp>BDH|341188318042749554</stp>
        <tr r="J73" s="2"/>
      </tp>
      <tp t="e">
        <v>#N/A</v>
        <stp/>
        <stp>BDH|920098062659430854</stp>
        <tr r="C48" s="4"/>
      </tp>
      <tp t="e">
        <v>#N/A</v>
        <stp/>
        <stp>BDH|269067579158222934</stp>
        <tr r="E59" s="2"/>
      </tp>
      <tp t="e">
        <v>#N/A</v>
        <stp/>
        <stp>BDH|606668936384196781</stp>
        <tr r="K89" s="2"/>
      </tp>
      <tp t="e">
        <v>#N/A</v>
        <stp/>
        <stp>BDH|911729200236364732</stp>
        <tr r="G42" s="4"/>
      </tp>
      <tp t="e">
        <v>#N/A</v>
        <stp/>
        <stp>BDH|190884165579980178</stp>
        <tr r="J10" s="2"/>
      </tp>
      <tp t="e">
        <v>#N/A</v>
        <stp/>
        <stp>BDH|497053920961865252</stp>
        <tr r="J17" s="2"/>
        <tr r="I9" s="3"/>
      </tp>
      <tp t="e">
        <v>#N/A</v>
        <stp/>
        <stp>BDH|243576611814744198</stp>
        <tr r="G67" s="4"/>
      </tp>
      <tp t="e">
        <v>#N/A</v>
        <stp/>
        <stp>BDH|642360508701313304</stp>
        <tr r="H18" s="2"/>
      </tp>
      <tp t="e">
        <v>#N/A</v>
        <stp/>
        <stp>BDH|271368709947283593</stp>
        <tr r="L17" s="2"/>
        <tr r="K9" s="3"/>
      </tp>
      <tp t="e">
        <v>#N/A</v>
        <stp/>
        <stp>BDH|861755608663700544</stp>
        <tr r="H11" s="2"/>
      </tp>
      <tp t="e">
        <v>#N/A</v>
        <stp/>
        <stp>BDH|902793727430088470</stp>
        <tr r="C49" s="4"/>
      </tp>
      <tp t="e">
        <v>#N/A</v>
        <stp/>
        <stp>BDH|421510149096144728</stp>
        <tr r="I21" s="2"/>
      </tp>
      <tp t="e">
        <v>#N/A</v>
        <stp/>
        <stp>BDH|479274356952556599</stp>
        <tr r="E93" s="2"/>
      </tp>
      <tp t="e">
        <v>#N/A</v>
        <stp/>
        <stp>BDH|507076134903895044</stp>
        <tr r="G23" s="4"/>
      </tp>
      <tp t="e">
        <v>#N/A</v>
        <stp/>
        <stp>BDH|238783309651872611</stp>
        <tr r="H53" s="2"/>
      </tp>
      <tp t="e">
        <v>#N/A</v>
        <stp/>
        <stp>BDH|195928124019519256</stp>
        <tr r="J39" s="4"/>
      </tp>
      <tp t="e">
        <v>#N/A</v>
        <stp/>
        <stp>BDH|853292325816706636</stp>
        <tr r="D77" s="2"/>
      </tp>
      <tp t="e">
        <v>#N/A</v>
        <stp/>
        <stp>BDH|664453051887815571</stp>
        <tr r="J62" s="4"/>
      </tp>
      <tp t="e">
        <v>#N/A</v>
        <stp/>
        <stp>BDH|993259261702336541</stp>
        <tr r="D84" s="2"/>
      </tp>
      <tp t="e">
        <v>#N/A</v>
        <stp/>
        <stp>BDH|464029179860051494</stp>
        <tr r="D93" s="2"/>
      </tp>
      <tp t="e">
        <v>#N/A</v>
        <stp/>
        <stp>BDH|318329102476189659</stp>
        <tr r="E72" s="2"/>
      </tp>
      <tp t="e">
        <v>#N/A</v>
        <stp/>
        <stp>BDH|327489108080448763</stp>
        <tr r="L35" s="2"/>
      </tp>
      <tp t="e">
        <v>#N/A</v>
        <stp/>
        <stp>BDH|418524041604925734</stp>
        <tr r="C77" s="2"/>
      </tp>
      <tp t="e">
        <v>#N/A</v>
        <stp/>
        <stp>BDH|859278915345325469</stp>
        <tr r="I35" s="2"/>
      </tp>
      <tp t="e">
        <v>#N/A</v>
        <stp/>
        <stp>BDH|636363238243070187</stp>
        <tr r="D31" s="4"/>
      </tp>
      <tp t="e">
        <v>#N/A</v>
        <stp/>
        <stp>BDH|599332338164138915</stp>
        <tr r="I46" s="2"/>
      </tp>
      <tp t="e">
        <v>#N/A</v>
        <stp/>
        <stp>BDH|231974645551024199</stp>
        <tr r="H72" s="2"/>
      </tp>
      <tp t="e">
        <v>#N/A</v>
        <stp/>
        <stp>BDH|259863672955699744</stp>
        <tr r="F28" s="4"/>
      </tp>
      <tp t="e">
        <v>#N/A</v>
        <stp/>
        <stp>BDH|974070996471879547</stp>
        <tr r="F71" s="2"/>
      </tp>
      <tp t="e">
        <v>#N/A</v>
        <stp/>
        <stp>BDH|628008252631484850</stp>
        <tr r="I51" s="4"/>
      </tp>
      <tp t="e">
        <v>#N/A</v>
        <stp/>
        <stp>BDH|541544279177812913</stp>
        <tr r="G8" s="4"/>
      </tp>
      <tp t="e">
        <v>#N/A</v>
        <stp/>
        <stp>BDH|907796289581560186</stp>
        <tr r="I48" s="4"/>
      </tp>
      <tp t="e">
        <v>#N/A</v>
        <stp/>
        <stp>BDH|856188373269798193</stp>
        <tr r="I27" s="4"/>
      </tp>
      <tp t="e">
        <v>#N/A</v>
        <stp/>
        <stp>BDH|556127289055789227</stp>
        <tr r="J30" s="4"/>
      </tp>
      <tp t="e">
        <v>#N/A</v>
        <stp/>
        <stp>BDH|678539215878262259</stp>
        <tr r="I11" s="4"/>
      </tp>
      <tp t="e">
        <v>#N/A</v>
        <stp/>
        <stp>BDH|650235990345527006</stp>
        <tr r="D79" s="2"/>
      </tp>
      <tp t="e">
        <v>#N/A</v>
        <stp/>
        <stp>BDH|791628528489696404</stp>
        <tr r="E6" s="4"/>
      </tp>
      <tp t="e">
        <v>#N/A</v>
        <stp/>
        <stp>BDH|579646392913278557</stp>
        <tr r="D18" s="2"/>
      </tp>
      <tp t="e">
        <v>#N/A</v>
        <stp/>
        <stp>BDH|309808401485086426</stp>
        <tr r="H48" s="2"/>
      </tp>
      <tp t="e">
        <v>#N/A</v>
        <stp/>
        <stp>BDH|200253086325677703</stp>
        <tr r="E64" s="2"/>
      </tp>
      <tp t="e">
        <v>#N/A</v>
        <stp/>
        <stp>BDH|587503939899295446</stp>
        <tr r="F51" s="4"/>
      </tp>
      <tp t="e">
        <v>#N/A</v>
        <stp/>
        <stp>BDH|157913483999297354</stp>
        <tr r="I67" s="4"/>
      </tp>
      <tp t="e">
        <v>#N/A</v>
        <stp/>
        <stp>BDH|471697304715815845</stp>
        <tr r="D39" s="4"/>
      </tp>
      <tp t="e">
        <v>#N/A</v>
        <stp/>
        <stp>BDH|329843668191989472</stp>
        <tr r="K58" s="2"/>
      </tp>
      <tp t="e">
        <v>#N/A</v>
        <stp/>
        <stp>BDH|337898719444629793</stp>
        <tr r="K63" s="4"/>
      </tp>
      <tp t="e">
        <v>#N/A</v>
        <stp/>
        <stp>BDH|720759900298040579</stp>
        <tr r="D25" s="4"/>
      </tp>
      <tp t="e">
        <v>#N/A</v>
        <stp/>
        <stp>BDH|191222486353047343</stp>
        <tr r="E24" s="4"/>
      </tp>
      <tp t="e">
        <v>#N/A</v>
        <stp/>
        <stp>BDH|419971325767292653</stp>
        <tr r="K34" s="2"/>
      </tp>
      <tp t="e">
        <v>#N/A</v>
        <stp/>
        <stp>BDH|385012824068795028</stp>
        <tr r="H7" s="4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volatileDependencies" Target="volatileDependencie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5"/>
  <sheetViews>
    <sheetView topLeftCell="A10" workbookViewId="0">
      <selection activeCell="J16" sqref="J16"/>
    </sheetView>
  </sheetViews>
  <sheetFormatPr baseColWidth="10" defaultRowHeight="15" x14ac:dyDescent="0.25"/>
  <cols>
    <col min="1" max="1" width="35.140625" customWidth="1"/>
    <col min="2" max="2" width="0" hidden="1" customWidth="1"/>
    <col min="3" max="12" width="11.85546875" customWidth="1"/>
  </cols>
  <sheetData>
    <row r="1" spans="1:12" ht="14.45" x14ac:dyDescent="0.3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20.25" x14ac:dyDescent="0.25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14.45" x14ac:dyDescent="0.3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</row>
    <row r="4" spans="1:12" ht="14.45" x14ac:dyDescent="0.35">
      <c r="A4" s="19" t="s">
        <v>1</v>
      </c>
      <c r="B4" s="19"/>
      <c r="C4" s="20" t="s">
        <v>2</v>
      </c>
      <c r="D4" s="20" t="s">
        <v>3</v>
      </c>
      <c r="E4" s="20" t="s">
        <v>4</v>
      </c>
      <c r="F4" s="20" t="s">
        <v>5</v>
      </c>
      <c r="G4" s="20" t="s">
        <v>6</v>
      </c>
      <c r="H4" s="20" t="s">
        <v>7</v>
      </c>
      <c r="I4" s="20" t="s">
        <v>8</v>
      </c>
      <c r="J4" s="20" t="s">
        <v>9</v>
      </c>
      <c r="K4" s="20" t="s">
        <v>10</v>
      </c>
      <c r="L4" s="20" t="s">
        <v>11</v>
      </c>
    </row>
    <row r="5" spans="1:12" ht="14.45" x14ac:dyDescent="0.35">
      <c r="A5" s="25" t="s">
        <v>12</v>
      </c>
      <c r="B5" s="25"/>
      <c r="C5" s="21" t="s">
        <v>13</v>
      </c>
      <c r="D5" s="21" t="s">
        <v>14</v>
      </c>
      <c r="E5" s="21" t="s">
        <v>15</v>
      </c>
      <c r="F5" s="21" t="s">
        <v>16</v>
      </c>
      <c r="G5" s="21" t="s">
        <v>17</v>
      </c>
      <c r="H5" s="21" t="s">
        <v>18</v>
      </c>
      <c r="I5" s="21" t="s">
        <v>19</v>
      </c>
      <c r="J5" s="21" t="s">
        <v>20</v>
      </c>
      <c r="K5" s="21" t="s">
        <v>21</v>
      </c>
      <c r="L5" s="21" t="s">
        <v>22</v>
      </c>
    </row>
    <row r="6" spans="1:12" ht="14.45" x14ac:dyDescent="0.35">
      <c r="A6" s="22" t="s">
        <v>23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</row>
    <row r="7" spans="1:12" x14ac:dyDescent="0.25">
      <c r="A7" s="26" t="s">
        <v>24</v>
      </c>
      <c r="B7" s="26" t="s">
        <v>25</v>
      </c>
      <c r="C7" s="29">
        <f>_xll.BDH("ALGEV FP Equity","C&amp;CE_AND_STI_DETAILED","FY 2010","FY 2010","Currency=EUR","Period=FY","BEST_FPERIOD_OVERRIDE=FY","FILING_STATUS=MR","SCALING_FORMAT=MLN","Sort=A","Dates=H","DateFormat=P","Fill=—","Direction=H","UseDPDF=Y")</f>
        <v>36.496000000000002</v>
      </c>
      <c r="D7" s="29">
        <f>_xll.BDH("ALGEV FP Equity","C&amp;CE_AND_STI_DETAILED","FY 2011","FY 2011","Currency=EUR","Period=FY","BEST_FPERIOD_OVERRIDE=FY","FILING_STATUS=MR","SCALING_FORMAT=MLN","Sort=A","Dates=H","DateFormat=P","Fill=—","Direction=H","UseDPDF=Y")</f>
        <v>22.285</v>
      </c>
      <c r="E7" s="29">
        <f>_xll.BDH("ALGEV FP Equity","C&amp;CE_AND_STI_DETAILED","FY 2012","FY 2012","Currency=EUR","Period=FY","BEST_FPERIOD_OVERRIDE=FY","FILING_STATUS=MR","SCALING_FORMAT=MLN","Sort=A","Dates=H","DateFormat=P","Fill=—","Direction=H","UseDPDF=Y")</f>
        <v>29.821999999999999</v>
      </c>
      <c r="F7" s="29">
        <f>_xll.BDH("ALGEV FP Equity","C&amp;CE_AND_STI_DETAILED","FY 2013","FY 2013","Currency=EUR","Period=FY","BEST_FPERIOD_OVERRIDE=FY","FILING_STATUS=MR","SCALING_FORMAT=MLN","Sort=A","Dates=H","DateFormat=P","Fill=—","Direction=H","UseDPDF=Y")</f>
        <v>47.87</v>
      </c>
      <c r="G7" s="29">
        <f>_xll.BDH("ALGEV FP Equity","C&amp;CE_AND_STI_DETAILED","FY 2014","FY 2014","Currency=EUR","Period=FY","BEST_FPERIOD_OVERRIDE=FY","FILING_STATUS=MR","SCALING_FORMAT=MLN","Sort=A","Dates=H","DateFormat=P","Fill=—","Direction=H","UseDPDF=Y")</f>
        <v>144.20400000000001</v>
      </c>
      <c r="H7" s="29">
        <f>_xll.BDH("ALGEV FP Equity","C&amp;CE_AND_STI_DETAILED","FY 2015","FY 2015","Currency=EUR","Period=FY","BEST_FPERIOD_OVERRIDE=FY","FILING_STATUS=MR","SCALING_FORMAT=MLN","Sort=A","Dates=H","DateFormat=P","Fill=—","Direction=H","UseDPDF=Y")</f>
        <v>104.604</v>
      </c>
      <c r="I7" s="29">
        <f>_xll.BDH("ALGEV FP Equity","C&amp;CE_AND_STI_DETAILED","FY 2016","FY 2016","Currency=EUR","Period=FY","BEST_FPERIOD_OVERRIDE=FY","FILING_STATUS=MR","SCALING_FORMAT=MLN","Sort=A","Dates=H","DateFormat=P","Fill=—","Direction=H","UseDPDF=Y")</f>
        <v>106.992</v>
      </c>
      <c r="J7" s="29">
        <f>_xll.BDH("ALGEV FP Equity","C&amp;CE_AND_STI_DETAILED","FY 2017","FY 2017","Currency=EUR","Period=FY","BEST_FPERIOD_OVERRIDE=FY","FILING_STATUS=MR","SCALING_FORMAT=MLN","Sort=A","Dates=H","DateFormat=P","Fill=—","Direction=H","UseDPDF=Y")</f>
        <v>107.11199999999999</v>
      </c>
      <c r="K7" s="29">
        <f>_xll.BDH("ALGEV FP Equity","C&amp;CE_AND_STI_DETAILED","FY 2018","FY 2018","Currency=EUR","Period=FY","BEST_FPERIOD_OVERRIDE=FY","FILING_STATUS=MR","SCALING_FORMAT=MLN","Sort=A","Dates=H","DateFormat=P","Fill=—","Direction=H","UseDPDF=Y")</f>
        <v>174.501</v>
      </c>
      <c r="L7" s="29">
        <f>_xll.BDH("ALGEV FP Equity","C&amp;CE_AND_STI_DETAILED","FY 2019","FY 2019","Currency=EUR","Period=FY","BEST_FPERIOD_OVERRIDE=FY","FILING_STATUS=MR","SCALING_FORMAT=MLN","Sort=A","Dates=H","DateFormat=P","Fill=—","Direction=H","UseDPDF=Y")</f>
        <v>160.726</v>
      </c>
    </row>
    <row r="8" spans="1:12" x14ac:dyDescent="0.25">
      <c r="A8" s="26" t="s">
        <v>26</v>
      </c>
      <c r="B8" s="26" t="s">
        <v>27</v>
      </c>
      <c r="C8" s="29">
        <f>_xll.BDH("ALGEV FP Equity","BS_CASH_NEAR_CASH_ITEM","FY 2010","FY 2010","Currency=EUR","Period=FY","BEST_FPERIOD_OVERRIDE=FY","FILING_STATUS=MR","SCALING_FORMAT=MLN","Sort=A","Dates=H","DateFormat=P","Fill=—","Direction=H","UseDPDF=Y")</f>
        <v>21.968</v>
      </c>
      <c r="D8" s="29">
        <f>_xll.BDH("ALGEV FP Equity","BS_CASH_NEAR_CASH_ITEM","FY 2011","FY 2011","Currency=EUR","Period=FY","BEST_FPERIOD_OVERRIDE=FY","FILING_STATUS=MR","SCALING_FORMAT=MLN","Sort=A","Dates=H","DateFormat=P","Fill=—","Direction=H","UseDPDF=Y")</f>
        <v>19.283999999999999</v>
      </c>
      <c r="E8" s="29">
        <f>_xll.BDH("ALGEV FP Equity","BS_CASH_NEAR_CASH_ITEM","FY 2012","FY 2012","Currency=EUR","Period=FY","BEST_FPERIOD_OVERRIDE=FY","FILING_STATUS=MR","SCALING_FORMAT=MLN","Sort=A","Dates=H","DateFormat=P","Fill=—","Direction=H","UseDPDF=Y")</f>
        <v>14.061999999999999</v>
      </c>
      <c r="F8" s="29">
        <f>_xll.BDH("ALGEV FP Equity","BS_CASH_NEAR_CASH_ITEM","FY 2013","FY 2013","Currency=EUR","Period=FY","BEST_FPERIOD_OVERRIDE=FY","FILING_STATUS=MR","SCALING_FORMAT=MLN","Sort=A","Dates=H","DateFormat=P","Fill=—","Direction=H","UseDPDF=Y")</f>
        <v>39.722000000000001</v>
      </c>
      <c r="G8" s="29">
        <f>_xll.BDH("ALGEV FP Equity","BS_CASH_NEAR_CASH_ITEM","FY 2014","FY 2014","Currency=EUR","Period=FY","BEST_FPERIOD_OVERRIDE=FY","FILING_STATUS=MR","SCALING_FORMAT=MLN","Sort=A","Dates=H","DateFormat=P","Fill=—","Direction=H","UseDPDF=Y")</f>
        <v>135.91900000000001</v>
      </c>
      <c r="H8" s="29">
        <f>_xll.BDH("ALGEV FP Equity","BS_CASH_NEAR_CASH_ITEM","FY 2015","FY 2015","Currency=EUR","Period=FY","BEST_FPERIOD_OVERRIDE=FY","FILING_STATUS=MR","SCALING_FORMAT=MLN","Sort=A","Dates=H","DateFormat=P","Fill=—","Direction=H","UseDPDF=Y")</f>
        <v>104.604</v>
      </c>
      <c r="I8" s="29">
        <f>_xll.BDH("ALGEV FP Equity","BS_CASH_NEAR_CASH_ITEM","FY 2016","FY 2016","Currency=EUR","Period=FY","BEST_FPERIOD_OVERRIDE=FY","FILING_STATUS=MR","SCALING_FORMAT=MLN","Sort=A","Dates=H","DateFormat=P","Fill=—","Direction=H","UseDPDF=Y")</f>
        <v>106.992</v>
      </c>
      <c r="J8" s="29">
        <f>_xll.BDH("ALGEV FP Equity","BS_CASH_NEAR_CASH_ITEM","FY 2017","FY 2017","Currency=EUR","Period=FY","BEST_FPERIOD_OVERRIDE=FY","FILING_STATUS=MR","SCALING_FORMAT=MLN","Sort=A","Dates=H","DateFormat=P","Fill=—","Direction=H","UseDPDF=Y")</f>
        <v>107.11199999999999</v>
      </c>
      <c r="K8" s="29">
        <f>_xll.BDH("ALGEV FP Equity","BS_CASH_NEAR_CASH_ITEM","FY 2018","FY 2018","Currency=EUR","Period=FY","BEST_FPERIOD_OVERRIDE=FY","FILING_STATUS=MR","SCALING_FORMAT=MLN","Sort=A","Dates=H","DateFormat=P","Fill=—","Direction=H","UseDPDF=Y")</f>
        <v>89.179000000000002</v>
      </c>
      <c r="L8" s="29">
        <f>_xll.BDH("ALGEV FP Equity","BS_CASH_NEAR_CASH_ITEM","FY 2019","FY 2019","Currency=EUR","Period=FY","BEST_FPERIOD_OVERRIDE=FY","FILING_STATUS=MR","SCALING_FORMAT=MLN","Sort=A","Dates=H","DateFormat=P","Fill=—","Direction=H","UseDPDF=Y")</f>
        <v>125.973</v>
      </c>
    </row>
    <row r="9" spans="1:12" ht="14.45" x14ac:dyDescent="0.35">
      <c r="A9" s="26" t="s">
        <v>28</v>
      </c>
      <c r="B9" s="26" t="s">
        <v>29</v>
      </c>
      <c r="C9" s="29">
        <f>_xll.BDH("ALGEV FP Equity","BS_MKT_SEC_OTHER_ST_INVEST","FY 2010","FY 2010","Currency=EUR","Period=FY","BEST_FPERIOD_OVERRIDE=FY","FILING_STATUS=MR","SCALING_FORMAT=MLN","Sort=A","Dates=H","DateFormat=P","Fill=—","Direction=H","UseDPDF=Y")</f>
        <v>14.528</v>
      </c>
      <c r="D9" s="29">
        <f>_xll.BDH("ALGEV FP Equity","BS_MKT_SEC_OTHER_ST_INVEST","FY 2011","FY 2011","Currency=EUR","Period=FY","BEST_FPERIOD_OVERRIDE=FY","FILING_STATUS=MR","SCALING_FORMAT=MLN","Sort=A","Dates=H","DateFormat=P","Fill=—","Direction=H","UseDPDF=Y")</f>
        <v>3.0009999999999999</v>
      </c>
      <c r="E9" s="29">
        <f>_xll.BDH("ALGEV FP Equity","BS_MKT_SEC_OTHER_ST_INVEST","FY 2012","FY 2012","Currency=EUR","Period=FY","BEST_FPERIOD_OVERRIDE=FY","FILING_STATUS=MR","SCALING_FORMAT=MLN","Sort=A","Dates=H","DateFormat=P","Fill=—","Direction=H","UseDPDF=Y")</f>
        <v>15.76</v>
      </c>
      <c r="F9" s="29">
        <f>_xll.BDH("ALGEV FP Equity","BS_MKT_SEC_OTHER_ST_INVEST","FY 2013","FY 2013","Currency=EUR","Period=FY","BEST_FPERIOD_OVERRIDE=FY","FILING_STATUS=MR","SCALING_FORMAT=MLN","Sort=A","Dates=H","DateFormat=P","Fill=—","Direction=H","UseDPDF=Y")</f>
        <v>8.1479999999999997</v>
      </c>
      <c r="G9" s="29">
        <f>_xll.BDH("ALGEV FP Equity","BS_MKT_SEC_OTHER_ST_INVEST","FY 2014","FY 2014","Currency=EUR","Period=FY","BEST_FPERIOD_OVERRIDE=FY","FILING_STATUS=MR","SCALING_FORMAT=MLN","Sort=A","Dates=H","DateFormat=P","Fill=—","Direction=H","UseDPDF=Y")</f>
        <v>8.2850000000000001</v>
      </c>
      <c r="H9" s="29">
        <f>_xll.BDH("ALGEV FP Equity","BS_MKT_SEC_OTHER_ST_INVEST","FY 2015","FY 2015","Currency=EUR","Period=FY","BEST_FPERIOD_OVERRIDE=FY","FILING_STATUS=MR","SCALING_FORMAT=MLN","Sort=A","Dates=H","DateFormat=P","Fill=—","Direction=H","UseDPDF=Y")</f>
        <v>0</v>
      </c>
      <c r="I9" s="29">
        <f>_xll.BDH("ALGEV FP Equity","BS_MKT_SEC_OTHER_ST_INVEST","FY 2016","FY 2016","Currency=EUR","Period=FY","BEST_FPERIOD_OVERRIDE=FY","FILING_STATUS=MR","SCALING_FORMAT=MLN","Sort=A","Dates=H","DateFormat=P","Fill=—","Direction=H","UseDPDF=Y")</f>
        <v>0</v>
      </c>
      <c r="J9" s="29">
        <f>_xll.BDH("ALGEV FP Equity","BS_MKT_SEC_OTHER_ST_INVEST","FY 2017","FY 2017","Currency=EUR","Period=FY","BEST_FPERIOD_OVERRIDE=FY","FILING_STATUS=MR","SCALING_FORMAT=MLN","Sort=A","Dates=H","DateFormat=P","Fill=—","Direction=H","UseDPDF=Y")</f>
        <v>0</v>
      </c>
      <c r="K9" s="29">
        <f>_xll.BDH("ALGEV FP Equity","BS_MKT_SEC_OTHER_ST_INVEST","FY 2018","FY 2018","Currency=EUR","Period=FY","BEST_FPERIOD_OVERRIDE=FY","FILING_STATUS=MR","SCALING_FORMAT=MLN","Sort=A","Dates=H","DateFormat=P","Fill=—","Direction=H","UseDPDF=Y")</f>
        <v>85.322000000000003</v>
      </c>
      <c r="L9" s="29">
        <f>_xll.BDH("ALGEV FP Equity","BS_MKT_SEC_OTHER_ST_INVEST","FY 2019","FY 2019","Currency=EUR","Period=FY","BEST_FPERIOD_OVERRIDE=FY","FILING_STATUS=MR","SCALING_FORMAT=MLN","Sort=A","Dates=H","DateFormat=P","Fill=—","Direction=H","UseDPDF=Y")</f>
        <v>34.753</v>
      </c>
    </row>
    <row r="10" spans="1:12" x14ac:dyDescent="0.25">
      <c r="A10" s="26" t="s">
        <v>30</v>
      </c>
      <c r="B10" s="26" t="s">
        <v>31</v>
      </c>
      <c r="C10" s="29">
        <f>_xll.BDH("ALGEV FP Equity","BS_ACCT_NOTE_RCV","FY 2010","FY 2010","Currency=EUR","Period=FY","BEST_FPERIOD_OVERRIDE=FY","FILING_STATUS=MR","SCALING_FORMAT=MLN","Sort=A","Dates=H","DateFormat=P","Fill=—","Direction=H","UseDPDF=Y")</f>
        <v>34.158999999999999</v>
      </c>
      <c r="D10" s="29">
        <f>_xll.BDH("ALGEV FP Equity","BS_ACCT_NOTE_RCV","FY 2011","FY 2011","Currency=EUR","Period=FY","BEST_FPERIOD_OVERRIDE=FY","FILING_STATUS=MR","SCALING_FORMAT=MLN","Sort=A","Dates=H","DateFormat=P","Fill=—","Direction=H","UseDPDF=Y")</f>
        <v>50.273000000000003</v>
      </c>
      <c r="E10" s="29">
        <f>_xll.BDH("ALGEV FP Equity","BS_ACCT_NOTE_RCV","FY 2012","FY 2012","Currency=EUR","Period=FY","BEST_FPERIOD_OVERRIDE=FY","FILING_STATUS=MR","SCALING_FORMAT=MLN","Sort=A","Dates=H","DateFormat=P","Fill=—","Direction=H","UseDPDF=Y")</f>
        <v>42.51</v>
      </c>
      <c r="F10" s="29">
        <f>_xll.BDH("ALGEV FP Equity","BS_ACCT_NOTE_RCV","FY 2013","FY 2013","Currency=EUR","Period=FY","BEST_FPERIOD_OVERRIDE=FY","FILING_STATUS=MR","SCALING_FORMAT=MLN","Sort=A","Dates=H","DateFormat=P","Fill=—","Direction=H","UseDPDF=Y")</f>
        <v>43.64</v>
      </c>
      <c r="G10" s="29">
        <f>_xll.BDH("ALGEV FP Equity","BS_ACCT_NOTE_RCV","FY 2014","FY 2014","Currency=EUR","Period=FY","BEST_FPERIOD_OVERRIDE=FY","FILING_STATUS=MR","SCALING_FORMAT=MLN","Sort=A","Dates=H","DateFormat=P","Fill=—","Direction=H","UseDPDF=Y")</f>
        <v>45.320999999999998</v>
      </c>
      <c r="H10" s="29">
        <f>_xll.BDH("ALGEV FP Equity","BS_ACCT_NOTE_RCV","FY 2015","FY 2015","Currency=EUR","Period=FY","BEST_FPERIOD_OVERRIDE=FY","FILING_STATUS=MR","SCALING_FORMAT=MLN","Sort=A","Dates=H","DateFormat=P","Fill=—","Direction=H","UseDPDF=Y")</f>
        <v>48.405999999999999</v>
      </c>
      <c r="I10" s="29">
        <f>_xll.BDH("ALGEV FP Equity","BS_ACCT_NOTE_RCV","FY 2016","FY 2016","Currency=EUR","Period=FY","BEST_FPERIOD_OVERRIDE=FY","FILING_STATUS=MR","SCALING_FORMAT=MLN","Sort=A","Dates=H","DateFormat=P","Fill=—","Direction=H","UseDPDF=Y")</f>
        <v>74.316999999999993</v>
      </c>
      <c r="J10" s="29">
        <f>_xll.BDH("ALGEV FP Equity","BS_ACCT_NOTE_RCV","FY 2017","FY 2017","Currency=EUR","Period=FY","BEST_FPERIOD_OVERRIDE=FY","FILING_STATUS=MR","SCALING_FORMAT=MLN","Sort=A","Dates=H","DateFormat=P","Fill=—","Direction=H","UseDPDF=Y")</f>
        <v>47.543999999999997</v>
      </c>
      <c r="K10" s="29">
        <f>_xll.BDH("ALGEV FP Equity","BS_ACCT_NOTE_RCV","FY 2018","FY 2018","Currency=EUR","Period=FY","BEST_FPERIOD_OVERRIDE=FY","FILING_STATUS=MR","SCALING_FORMAT=MLN","Sort=A","Dates=H","DateFormat=P","Fill=—","Direction=H","UseDPDF=Y")</f>
        <v>38.726999999999997</v>
      </c>
      <c r="L10" s="29">
        <f>_xll.BDH("ALGEV FP Equity","BS_ACCT_NOTE_RCV","FY 2019","FY 2019","Currency=EUR","Period=FY","BEST_FPERIOD_OVERRIDE=FY","FILING_STATUS=MR","SCALING_FORMAT=MLN","Sort=A","Dates=H","DateFormat=P","Fill=—","Direction=H","UseDPDF=Y")</f>
        <v>45.898000000000003</v>
      </c>
    </row>
    <row r="11" spans="1:12" ht="14.45" x14ac:dyDescent="0.35">
      <c r="A11" s="26" t="s">
        <v>32</v>
      </c>
      <c r="B11" s="26" t="s">
        <v>33</v>
      </c>
      <c r="C11" s="29">
        <v>0</v>
      </c>
      <c r="D11" s="29">
        <v>0</v>
      </c>
      <c r="E11" s="29">
        <f>_xll.BDH("ALGEV FP Equity","BS_ACCTS_REC_EXCL_NOTES_REC","FY 2012","FY 2012","Currency=EUR","Period=FY","BEST_FPERIOD_OVERRIDE=FY","FILING_STATUS=MR","SCALING_FORMAT=MLN","Sort=A","Dates=H","DateFormat=P","Fill=—","Direction=H","UseDPDF=Y")</f>
        <v>42.51</v>
      </c>
      <c r="F11" s="29">
        <f>_xll.BDH("ALGEV FP Equity","BS_ACCTS_REC_EXCL_NOTES_REC","FY 2013","FY 2013","Currency=EUR","Period=FY","BEST_FPERIOD_OVERRIDE=FY","FILING_STATUS=MR","SCALING_FORMAT=MLN","Sort=A","Dates=H","DateFormat=P","Fill=—","Direction=H","UseDPDF=Y")</f>
        <v>43.64</v>
      </c>
      <c r="G11" s="29">
        <f>_xll.BDH("ALGEV FP Equity","BS_ACCTS_REC_EXCL_NOTES_REC","FY 2014","FY 2014","Currency=EUR","Period=FY","BEST_FPERIOD_OVERRIDE=FY","FILING_STATUS=MR","SCALING_FORMAT=MLN","Sort=A","Dates=H","DateFormat=P","Fill=—","Direction=H","UseDPDF=Y")</f>
        <v>45.320999999999998</v>
      </c>
      <c r="H11" s="29">
        <f>_xll.BDH("ALGEV FP Equity","BS_ACCTS_REC_EXCL_NOTES_REC","FY 2015","FY 2015","Currency=EUR","Period=FY","BEST_FPERIOD_OVERRIDE=FY","FILING_STATUS=MR","SCALING_FORMAT=MLN","Sort=A","Dates=H","DateFormat=P","Fill=—","Direction=H","UseDPDF=Y")</f>
        <v>48.405999999999999</v>
      </c>
      <c r="I11" s="29">
        <f>_xll.BDH("ALGEV FP Equity","BS_ACCTS_REC_EXCL_NOTES_REC","FY 2016","FY 2016","Currency=EUR","Period=FY","BEST_FPERIOD_OVERRIDE=FY","FILING_STATUS=MR","SCALING_FORMAT=MLN","Sort=A","Dates=H","DateFormat=P","Fill=—","Direction=H","UseDPDF=Y")</f>
        <v>74.316999999999993</v>
      </c>
      <c r="J11" s="29">
        <f>_xll.BDH("ALGEV FP Equity","BS_ACCTS_REC_EXCL_NOTES_REC","FY 2017","FY 2017","Currency=EUR","Period=FY","BEST_FPERIOD_OVERRIDE=FY","FILING_STATUS=MR","SCALING_FORMAT=MLN","Sort=A","Dates=H","DateFormat=P","Fill=—","Direction=H","UseDPDF=Y")</f>
        <v>47.543999999999997</v>
      </c>
      <c r="K11" s="29">
        <f>_xll.BDH("ALGEV FP Equity","BS_ACCTS_REC_EXCL_NOTES_REC","FY 2018","FY 2018","Currency=EUR","Period=FY","BEST_FPERIOD_OVERRIDE=FY","FILING_STATUS=MR","SCALING_FORMAT=MLN","Sort=A","Dates=H","DateFormat=P","Fill=—","Direction=H","UseDPDF=Y")</f>
        <v>38.726999999999997</v>
      </c>
      <c r="L11" s="29">
        <f>_xll.BDH("ALGEV FP Equity","BS_ACCTS_REC_EXCL_NOTES_REC","FY 2019","FY 2019","Currency=EUR","Period=FY","BEST_FPERIOD_OVERRIDE=FY","FILING_STATUS=MR","SCALING_FORMAT=MLN","Sort=A","Dates=H","DateFormat=P","Fill=—","Direction=H","UseDPDF=Y")</f>
        <v>45.898000000000003</v>
      </c>
    </row>
    <row r="12" spans="1:12" x14ac:dyDescent="0.25">
      <c r="A12" s="26" t="s">
        <v>34</v>
      </c>
      <c r="B12" s="26" t="s">
        <v>35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f>_xll.BDH("ALGEV FP Equity","NOTES_RECEIVABLE","FY 2016","FY 2016","Currency=EUR","Period=FY","BEST_FPERIOD_OVERRIDE=FY","FILING_STATUS=MR","SCALING_FORMAT=MLN","Sort=A","Dates=H","DateFormat=P","Fill=—","Direction=H","UseDPDF=Y")</f>
        <v>0</v>
      </c>
      <c r="J12" s="29">
        <f>_xll.BDH("ALGEV FP Equity","NOTES_RECEIVABLE","FY 2017","FY 2017","Currency=EUR","Period=FY","BEST_FPERIOD_OVERRIDE=FY","FILING_STATUS=MR","SCALING_FORMAT=MLN","Sort=A","Dates=H","DateFormat=P","Fill=—","Direction=H","UseDPDF=Y")</f>
        <v>0</v>
      </c>
      <c r="K12" s="29">
        <f>_xll.BDH("ALGEV FP Equity","NOTES_RECEIVABLE","FY 2018","FY 2018","Currency=EUR","Period=FY","BEST_FPERIOD_OVERRIDE=FY","FILING_STATUS=MR","SCALING_FORMAT=MLN","Sort=A","Dates=H","DateFormat=P","Fill=—","Direction=H","UseDPDF=Y")</f>
        <v>0</v>
      </c>
      <c r="L12" s="29">
        <f>_xll.BDH("ALGEV FP Equity","NOTES_RECEIVABLE","FY 2019","FY 2019","Currency=EUR","Period=FY","BEST_FPERIOD_OVERRIDE=FY","FILING_STATUS=MR","SCALING_FORMAT=MLN","Sort=A","Dates=H","DateFormat=P","Fill=—","Direction=H","UseDPDF=Y")</f>
        <v>0</v>
      </c>
    </row>
    <row r="13" spans="1:12" ht="14.45" x14ac:dyDescent="0.35">
      <c r="A13" s="26" t="s">
        <v>36</v>
      </c>
      <c r="B13" s="26" t="s">
        <v>37</v>
      </c>
      <c r="C13" s="29">
        <f>_xll.BDH("ALGEV FP Equity","BS_INVENTORIES","FY 2010","FY 2010","Currency=EUR","Period=FY","BEST_FPERIOD_OVERRIDE=FY","FILING_STATUS=MR","SCALING_FORMAT=MLN","Sort=A","Dates=H","DateFormat=P","Fill=—","Direction=H","UseDPDF=Y")</f>
        <v>29.02</v>
      </c>
      <c r="D13" s="29">
        <f>_xll.BDH("ALGEV FP Equity","BS_INVENTORIES","FY 2011","FY 2011","Currency=EUR","Period=FY","BEST_FPERIOD_OVERRIDE=FY","FILING_STATUS=MR","SCALING_FORMAT=MLN","Sort=A","Dates=H","DateFormat=P","Fill=—","Direction=H","UseDPDF=Y")</f>
        <v>36.130000000000003</v>
      </c>
      <c r="E13" s="29">
        <f>_xll.BDH("ALGEV FP Equity","BS_INVENTORIES","FY 2012","FY 2012","Currency=EUR","Period=FY","BEST_FPERIOD_OVERRIDE=FY","FILING_STATUS=MR","SCALING_FORMAT=MLN","Sort=A","Dates=H","DateFormat=P","Fill=—","Direction=H","UseDPDF=Y")</f>
        <v>35.027999999999999</v>
      </c>
      <c r="F13" s="29">
        <f>_xll.BDH("ALGEV FP Equity","BS_INVENTORIES","FY 2013","FY 2013","Currency=EUR","Period=FY","BEST_FPERIOD_OVERRIDE=FY","FILING_STATUS=MR","SCALING_FORMAT=MLN","Sort=A","Dates=H","DateFormat=P","Fill=—","Direction=H","UseDPDF=Y")</f>
        <v>37.11</v>
      </c>
      <c r="G13" s="29">
        <f>_xll.BDH("ALGEV FP Equity","BS_INVENTORIES","FY 2014","FY 2014","Currency=EUR","Period=FY","BEST_FPERIOD_OVERRIDE=FY","FILING_STATUS=MR","SCALING_FORMAT=MLN","Sort=A","Dates=H","DateFormat=P","Fill=—","Direction=H","UseDPDF=Y")</f>
        <v>45.494999999999997</v>
      </c>
      <c r="H13" s="29">
        <f>_xll.BDH("ALGEV FP Equity","BS_INVENTORIES","FY 2015","FY 2015","Currency=EUR","Period=FY","BEST_FPERIOD_OVERRIDE=FY","FILING_STATUS=MR","SCALING_FORMAT=MLN","Sort=A","Dates=H","DateFormat=P","Fill=—","Direction=H","UseDPDF=Y")</f>
        <v>46.170999999999999</v>
      </c>
      <c r="I13" s="29">
        <f>_xll.BDH("ALGEV FP Equity","BS_INVENTORIES","FY 2016","FY 2016","Currency=EUR","Period=FY","BEST_FPERIOD_OVERRIDE=FY","FILING_STATUS=MR","SCALING_FORMAT=MLN","Sort=A","Dates=H","DateFormat=P","Fill=—","Direction=H","UseDPDF=Y")</f>
        <v>40.145000000000003</v>
      </c>
      <c r="J13" s="29">
        <f>_xll.BDH("ALGEV FP Equity","BS_INVENTORIES","FY 2017","FY 2017","Currency=EUR","Period=FY","BEST_FPERIOD_OVERRIDE=FY","FILING_STATUS=MR","SCALING_FORMAT=MLN","Sort=A","Dates=H","DateFormat=P","Fill=—","Direction=H","UseDPDF=Y")</f>
        <v>27.105</v>
      </c>
      <c r="K13" s="29">
        <f>_xll.BDH("ALGEV FP Equity","BS_INVENTORIES","FY 2018","FY 2018","Currency=EUR","Period=FY","BEST_FPERIOD_OVERRIDE=FY","FILING_STATUS=MR","SCALING_FORMAT=MLN","Sort=A","Dates=H","DateFormat=P","Fill=—","Direction=H","UseDPDF=Y")</f>
        <v>26.247</v>
      </c>
      <c r="L13" s="29">
        <f>_xll.BDH("ALGEV FP Equity","BS_INVENTORIES","FY 2019","FY 2019","Currency=EUR","Period=FY","BEST_FPERIOD_OVERRIDE=FY","FILING_STATUS=MR","SCALING_FORMAT=MLN","Sort=A","Dates=H","DateFormat=P","Fill=—","Direction=H","UseDPDF=Y")</f>
        <v>33.161999999999999</v>
      </c>
    </row>
    <row r="14" spans="1:12" x14ac:dyDescent="0.25">
      <c r="A14" s="26" t="s">
        <v>38</v>
      </c>
      <c r="B14" s="26" t="s">
        <v>39</v>
      </c>
      <c r="C14" s="29">
        <f>_xll.BDH("ALGEV FP Equity","INVTRY_RAW_MATERIALS","FY 2010","FY 2010","Currency=EUR","Period=FY","BEST_FPERIOD_OVERRIDE=FY","FILING_STATUS=MR","SCALING_FORMAT=MLN","Sort=A","Dates=H","DateFormat=P","Fill=—","Direction=H","UseDPDF=Y")</f>
        <v>12.797000000000001</v>
      </c>
      <c r="D14" s="29">
        <f>_xll.BDH("ALGEV FP Equity","INVTRY_RAW_MATERIALS","FY 2011","FY 2011","Currency=EUR","Period=FY","BEST_FPERIOD_OVERRIDE=FY","FILING_STATUS=MR","SCALING_FORMAT=MLN","Sort=A","Dates=H","DateFormat=P","Fill=—","Direction=H","UseDPDF=Y")</f>
        <v>16.818000000000001</v>
      </c>
      <c r="E14" s="29">
        <f>_xll.BDH("ALGEV FP Equity","INVTRY_RAW_MATERIALS","FY 2012","FY 2012","Currency=EUR","Period=FY","BEST_FPERIOD_OVERRIDE=FY","FILING_STATUS=MR","SCALING_FORMAT=MLN","Sort=A","Dates=H","DateFormat=P","Fill=—","Direction=H","UseDPDF=Y")</f>
        <v>18.216000000000001</v>
      </c>
      <c r="F14" s="29">
        <f>_xll.BDH("ALGEV FP Equity","INVTRY_RAW_MATERIALS","FY 2013","FY 2013","Currency=EUR","Period=FY","BEST_FPERIOD_OVERRIDE=FY","FILING_STATUS=MR","SCALING_FORMAT=MLN","Sort=A","Dates=H","DateFormat=P","Fill=—","Direction=H","UseDPDF=Y")</f>
        <v>15.509</v>
      </c>
      <c r="G14" s="29">
        <f>_xll.BDH("ALGEV FP Equity","INVTRY_RAW_MATERIALS","FY 2014","FY 2014","Currency=EUR","Period=FY","BEST_FPERIOD_OVERRIDE=FY","FILING_STATUS=MR","SCALING_FORMAT=MLN","Sort=A","Dates=H","DateFormat=P","Fill=—","Direction=H","UseDPDF=Y")</f>
        <v>16.981000000000002</v>
      </c>
      <c r="H14" s="29">
        <f>_xll.BDH("ALGEV FP Equity","INVTRY_RAW_MATERIALS","FY 2015","FY 2015","Currency=EUR","Period=FY","BEST_FPERIOD_OVERRIDE=FY","FILING_STATUS=MR","SCALING_FORMAT=MLN","Sort=A","Dates=H","DateFormat=P","Fill=—","Direction=H","UseDPDF=Y")</f>
        <v>20.62</v>
      </c>
      <c r="I14" s="29">
        <f>_xll.BDH("ALGEV FP Equity","INVTRY_RAW_MATERIALS","FY 2016","FY 2016","Currency=EUR","Period=FY","BEST_FPERIOD_OVERRIDE=FY","FILING_STATUS=MR","SCALING_FORMAT=MLN","Sort=A","Dates=H","DateFormat=P","Fill=—","Direction=H","UseDPDF=Y")</f>
        <v>19.988</v>
      </c>
      <c r="J14" s="29">
        <f>_xll.BDH("ALGEV FP Equity","INVTRY_RAW_MATERIALS","FY 2017","FY 2017","Currency=EUR","Period=FY","BEST_FPERIOD_OVERRIDE=FY","FILING_STATUS=MR","SCALING_FORMAT=MLN","Sort=A","Dates=H","DateFormat=P","Fill=—","Direction=H","UseDPDF=Y")</f>
        <v>13.763999999999999</v>
      </c>
      <c r="K14" s="29">
        <f>_xll.BDH("ALGEV FP Equity","INVTRY_RAW_MATERIALS","FY 2018","FY 2018","Currency=EUR","Period=FY","BEST_FPERIOD_OVERRIDE=FY","FILING_STATUS=MR","SCALING_FORMAT=MLN","Sort=A","Dates=H","DateFormat=P","Fill=—","Direction=H","UseDPDF=Y")</f>
        <v>0</v>
      </c>
      <c r="L14" s="29">
        <f>_xll.BDH("ALGEV FP Equity","INVTRY_RAW_MATERIALS","FY 2019","FY 2019","Currency=EUR","Period=FY","BEST_FPERIOD_OVERRIDE=FY","FILING_STATUS=MR","SCALING_FORMAT=MLN","Sort=A","Dates=H","DateFormat=P","Fill=—","Direction=H","UseDPDF=Y")</f>
        <v>0</v>
      </c>
    </row>
    <row r="15" spans="1:12" ht="14.45" x14ac:dyDescent="0.35">
      <c r="A15" s="26" t="s">
        <v>40</v>
      </c>
      <c r="B15" s="26" t="s">
        <v>41</v>
      </c>
      <c r="C15" s="29">
        <f>_xll.BDH("ALGEV FP Equity","INVTRY_IN_PROGRESS","FY 2010","FY 2010","Currency=EUR","Period=FY","BEST_FPERIOD_OVERRIDE=FY","FILING_STATUS=MR","SCALING_FORMAT=MLN","Sort=A","Dates=H","DateFormat=P","Fill=—","Direction=H","UseDPDF=Y")</f>
        <v>5.6619999999999999</v>
      </c>
      <c r="D15" s="29">
        <f>_xll.BDH("ALGEV FP Equity","INVTRY_IN_PROGRESS","FY 2011","FY 2011","Currency=EUR","Period=FY","BEST_FPERIOD_OVERRIDE=FY","FILING_STATUS=MR","SCALING_FORMAT=MLN","Sort=A","Dates=H","DateFormat=P","Fill=—","Direction=H","UseDPDF=Y")</f>
        <v>7.2370000000000001</v>
      </c>
      <c r="E15" s="29">
        <f>_xll.BDH("ALGEV FP Equity","INVTRY_IN_PROGRESS","FY 2012","FY 2012","Currency=EUR","Period=FY","BEST_FPERIOD_OVERRIDE=FY","FILING_STATUS=MR","SCALING_FORMAT=MLN","Sort=A","Dates=H","DateFormat=P","Fill=—","Direction=H","UseDPDF=Y")</f>
        <v>7.016</v>
      </c>
      <c r="F15" s="29">
        <f>_xll.BDH("ALGEV FP Equity","INVTRY_IN_PROGRESS","FY 2013","FY 2013","Currency=EUR","Period=FY","BEST_FPERIOD_OVERRIDE=FY","FILING_STATUS=MR","SCALING_FORMAT=MLN","Sort=A","Dates=H","DateFormat=P","Fill=—","Direction=H","UseDPDF=Y")</f>
        <v>7.8079999999999998</v>
      </c>
      <c r="G15" s="29">
        <f>_xll.BDH("ALGEV FP Equity","INVTRY_IN_PROGRESS","FY 2014","FY 2014","Currency=EUR","Period=FY","BEST_FPERIOD_OVERRIDE=FY","FILING_STATUS=MR","SCALING_FORMAT=MLN","Sort=A","Dates=H","DateFormat=P","Fill=—","Direction=H","UseDPDF=Y")</f>
        <v>6.85</v>
      </c>
      <c r="H15" s="29">
        <f>_xll.BDH("ALGEV FP Equity","INVTRY_IN_PROGRESS","FY 2015","FY 2015","Currency=EUR","Period=FY","BEST_FPERIOD_OVERRIDE=FY","FILING_STATUS=MR","SCALING_FORMAT=MLN","Sort=A","Dates=H","DateFormat=P","Fill=—","Direction=H","UseDPDF=Y")</f>
        <v>6.6710000000000003</v>
      </c>
      <c r="I15" s="29">
        <f>_xll.BDH("ALGEV FP Equity","INVTRY_IN_PROGRESS","FY 2016","FY 2016","Currency=EUR","Period=FY","BEST_FPERIOD_OVERRIDE=FY","FILING_STATUS=MR","SCALING_FORMAT=MLN","Sort=A","Dates=H","DateFormat=P","Fill=—","Direction=H","UseDPDF=Y")</f>
        <v>5.5280000000000005</v>
      </c>
      <c r="J15" s="29">
        <f>_xll.BDH("ALGEV FP Equity","INVTRY_IN_PROGRESS","FY 2017","FY 2017","Currency=EUR","Period=FY","BEST_FPERIOD_OVERRIDE=FY","FILING_STATUS=MR","SCALING_FORMAT=MLN","Sort=A","Dates=H","DateFormat=P","Fill=—","Direction=H","UseDPDF=Y")</f>
        <v>1.298</v>
      </c>
      <c r="K15" s="29">
        <f>_xll.BDH("ALGEV FP Equity","INVTRY_IN_PROGRESS","FY 2018","FY 2018","Currency=EUR","Period=FY","BEST_FPERIOD_OVERRIDE=FY","FILING_STATUS=MR","SCALING_FORMAT=MLN","Sort=A","Dates=H","DateFormat=P","Fill=—","Direction=H","UseDPDF=Y")</f>
        <v>0</v>
      </c>
      <c r="L15" s="29">
        <f>_xll.BDH("ALGEV FP Equity","INVTRY_IN_PROGRESS","FY 2019","FY 2019","Currency=EUR","Period=FY","BEST_FPERIOD_OVERRIDE=FY","FILING_STATUS=MR","SCALING_FORMAT=MLN","Sort=A","Dates=H","DateFormat=P","Fill=—","Direction=H","UseDPDF=Y")</f>
        <v>0</v>
      </c>
    </row>
    <row r="16" spans="1:12" ht="14.45" x14ac:dyDescent="0.35">
      <c r="A16" s="26" t="s">
        <v>42</v>
      </c>
      <c r="B16" s="26" t="s">
        <v>43</v>
      </c>
      <c r="C16" s="29">
        <f>_xll.BDH("ALGEV FP Equity","INVTRY_FINISHED_GOODS","FY 2010","FY 2010","Currency=EUR","Period=FY","BEST_FPERIOD_OVERRIDE=FY","FILING_STATUS=MR","SCALING_FORMAT=MLN","Sort=A","Dates=H","DateFormat=P","Fill=—","Direction=H","UseDPDF=Y")</f>
        <v>10.561</v>
      </c>
      <c r="D16" s="29">
        <f>_xll.BDH("ALGEV FP Equity","INVTRY_FINISHED_GOODS","FY 2011","FY 2011","Currency=EUR","Period=FY","BEST_FPERIOD_OVERRIDE=FY","FILING_STATUS=MR","SCALING_FORMAT=MLN","Sort=A","Dates=H","DateFormat=P","Fill=—","Direction=H","UseDPDF=Y")</f>
        <v>12.074999999999999</v>
      </c>
      <c r="E16" s="29">
        <f>_xll.BDH("ALGEV FP Equity","INVTRY_FINISHED_GOODS","FY 2012","FY 2012","Currency=EUR","Period=FY","BEST_FPERIOD_OVERRIDE=FY","FILING_STATUS=MR","SCALING_FORMAT=MLN","Sort=A","Dates=H","DateFormat=P","Fill=—","Direction=H","UseDPDF=Y")</f>
        <v>13.593</v>
      </c>
      <c r="F16" s="29">
        <f>_xll.BDH("ALGEV FP Equity","INVTRY_FINISHED_GOODS","FY 2013","FY 2013","Currency=EUR","Period=FY","BEST_FPERIOD_OVERRIDE=FY","FILING_STATUS=MR","SCALING_FORMAT=MLN","Sort=A","Dates=H","DateFormat=P","Fill=—","Direction=H","UseDPDF=Y")</f>
        <v>1.865</v>
      </c>
      <c r="G16" s="29">
        <f>_xll.BDH("ALGEV FP Equity","INVTRY_FINISHED_GOODS","FY 2014","FY 2014","Currency=EUR","Period=FY","BEST_FPERIOD_OVERRIDE=FY","FILING_STATUS=MR","SCALING_FORMAT=MLN","Sort=A","Dates=H","DateFormat=P","Fill=—","Direction=H","UseDPDF=Y")</f>
        <v>10.11</v>
      </c>
      <c r="H16" s="29">
        <f>_xll.BDH("ALGEV FP Equity","INVTRY_FINISHED_GOODS","FY 2015","FY 2015","Currency=EUR","Period=FY","BEST_FPERIOD_OVERRIDE=FY","FILING_STATUS=MR","SCALING_FORMAT=MLN","Sort=A","Dates=H","DateFormat=P","Fill=—","Direction=H","UseDPDF=Y")</f>
        <v>7.9260000000000002</v>
      </c>
      <c r="I16" s="29">
        <f>_xll.BDH("ALGEV FP Equity","INVTRY_FINISHED_GOODS","FY 2016","FY 2016","Currency=EUR","Period=FY","BEST_FPERIOD_OVERRIDE=FY","FILING_STATUS=MR","SCALING_FORMAT=MLN","Sort=A","Dates=H","DateFormat=P","Fill=—","Direction=H","UseDPDF=Y")</f>
        <v>14.629</v>
      </c>
      <c r="J16" s="29">
        <f>_xll.BDH("ALGEV FP Equity","INVTRY_FINISHED_GOODS","FY 2017","FY 2017","Currency=EUR","Period=FY","BEST_FPERIOD_OVERRIDE=FY","FILING_STATUS=MR","SCALING_FORMAT=MLN","Sort=A","Dates=H","DateFormat=P","Fill=—","Direction=H","UseDPDF=Y")</f>
        <v>12.042999999999999</v>
      </c>
      <c r="K16" s="29">
        <f>_xll.BDH("ALGEV FP Equity","INVTRY_FINISHED_GOODS","FY 2018","FY 2018","Currency=EUR","Period=FY","BEST_FPERIOD_OVERRIDE=FY","FILING_STATUS=MR","SCALING_FORMAT=MLN","Sort=A","Dates=H","DateFormat=P","Fill=—","Direction=H","UseDPDF=Y")</f>
        <v>26.911000000000001</v>
      </c>
      <c r="L16" s="29">
        <f>_xll.BDH("ALGEV FP Equity","INVTRY_FINISHED_GOODS","FY 2019","FY 2019","Currency=EUR","Period=FY","BEST_FPERIOD_OVERRIDE=FY","FILING_STATUS=MR","SCALING_FORMAT=MLN","Sort=A","Dates=H","DateFormat=P","Fill=—","Direction=H","UseDPDF=Y")</f>
        <v>33.646000000000001</v>
      </c>
    </row>
    <row r="17" spans="1:12" ht="14.45" x14ac:dyDescent="0.35">
      <c r="A17" s="26" t="s">
        <v>44</v>
      </c>
      <c r="B17" s="26" t="s">
        <v>45</v>
      </c>
      <c r="C17" s="29">
        <f>_xll.BDH("ALGEV FP Equity","BS_OTHER_INV","FY 2010","FY 2010","Currency=EUR","Period=FY","BEST_FPERIOD_OVERRIDE=FY","FILING_STATUS=MR","SCALING_FORMAT=MLN","Sort=A","Dates=H","DateFormat=P","Fill=—","Direction=H","UseDPDF=Y")</f>
        <v>0</v>
      </c>
      <c r="D17" s="29">
        <f>_xll.BDH("ALGEV FP Equity","BS_OTHER_INV","FY 2011","FY 2011","Currency=EUR","Period=FY","BEST_FPERIOD_OVERRIDE=FY","FILING_STATUS=MR","SCALING_FORMAT=MLN","Sort=A","Dates=H","DateFormat=P","Fill=—","Direction=H","UseDPDF=Y")</f>
        <v>0</v>
      </c>
      <c r="E17" s="29">
        <f>_xll.BDH("ALGEV FP Equity","BS_OTHER_INV","FY 2012","FY 2012","Currency=EUR","Period=FY","BEST_FPERIOD_OVERRIDE=FY","FILING_STATUS=MR","SCALING_FORMAT=MLN","Sort=A","Dates=H","DateFormat=P","Fill=—","Direction=H","UseDPDF=Y")</f>
        <v>-3.7970000000000002</v>
      </c>
      <c r="F17" s="29">
        <f>_xll.BDH("ALGEV FP Equity","BS_OTHER_INV","FY 2013","FY 2013","Currency=EUR","Period=FY","BEST_FPERIOD_OVERRIDE=FY","FILING_STATUS=MR","SCALING_FORMAT=MLN","Sort=A","Dates=H","DateFormat=P","Fill=—","Direction=H","UseDPDF=Y")</f>
        <v>11.928000000000001</v>
      </c>
      <c r="G17" s="29">
        <f>_xll.BDH("ALGEV FP Equity","BS_OTHER_INV","FY 2014","FY 2014","Currency=EUR","Period=FY","BEST_FPERIOD_OVERRIDE=FY","FILING_STATUS=MR","SCALING_FORMAT=MLN","Sort=A","Dates=H","DateFormat=P","Fill=—","Direction=H","UseDPDF=Y")</f>
        <v>11.554</v>
      </c>
      <c r="H17" s="29">
        <f>_xll.BDH("ALGEV FP Equity","BS_OTHER_INV","FY 2015","FY 2015","Currency=EUR","Period=FY","BEST_FPERIOD_OVERRIDE=FY","FILING_STATUS=MR","SCALING_FORMAT=MLN","Sort=A","Dates=H","DateFormat=P","Fill=—","Direction=H","UseDPDF=Y")</f>
        <v>10.954000000000001</v>
      </c>
      <c r="I17" s="29">
        <f>_xll.BDH("ALGEV FP Equity","BS_OTHER_INV","FY 2016","FY 2016","Currency=EUR","Period=FY","BEST_FPERIOD_OVERRIDE=FY","FILING_STATUS=MR","SCALING_FORMAT=MLN","Sort=A","Dates=H","DateFormat=P","Fill=—","Direction=H","UseDPDF=Y")</f>
        <v>0</v>
      </c>
      <c r="J17" s="29">
        <f>_xll.BDH("ALGEV FP Equity","BS_OTHER_INV","FY 2017","FY 2017","Currency=EUR","Period=FY","BEST_FPERIOD_OVERRIDE=FY","FILING_STATUS=MR","SCALING_FORMAT=MLN","Sort=A","Dates=H","DateFormat=P","Fill=—","Direction=H","UseDPDF=Y")</f>
        <v>0</v>
      </c>
      <c r="K17" s="29">
        <f>_xll.BDH("ALGEV FP Equity","BS_OTHER_INV","FY 2018","FY 2018","Currency=EUR","Period=FY","BEST_FPERIOD_OVERRIDE=FY","FILING_STATUS=MR","SCALING_FORMAT=MLN","Sort=A","Dates=H","DateFormat=P","Fill=—","Direction=H","UseDPDF=Y")</f>
        <v>-0.66400000000000003</v>
      </c>
      <c r="L17" s="29">
        <f>_xll.BDH("ALGEV FP Equity","BS_OTHER_INV","FY 2019","FY 2019","Currency=EUR","Period=FY","BEST_FPERIOD_OVERRIDE=FY","FILING_STATUS=MR","SCALING_FORMAT=MLN","Sort=A","Dates=H","DateFormat=P","Fill=—","Direction=H","UseDPDF=Y")</f>
        <v>-0.48399999999999999</v>
      </c>
    </row>
    <row r="18" spans="1:12" ht="14.45" x14ac:dyDescent="0.35">
      <c r="A18" s="26" t="s">
        <v>46</v>
      </c>
      <c r="B18" s="26" t="s">
        <v>47</v>
      </c>
      <c r="C18" s="29">
        <f>_xll.BDH("ALGEV FP Equity","OTHER_CURRENT_ASSETS_DETAILED","FY 2010","FY 2010","Currency=EUR","Period=FY","BEST_FPERIOD_OVERRIDE=FY","FILING_STATUS=MR","SCALING_FORMAT=MLN","Sort=A","Dates=H","DateFormat=P","Fill=—","Direction=H","UseDPDF=Y")</f>
        <v>4.585</v>
      </c>
      <c r="D18" s="29">
        <f>_xll.BDH("ALGEV FP Equity","OTHER_CURRENT_ASSETS_DETAILED","FY 2011","FY 2011","Currency=EUR","Period=FY","BEST_FPERIOD_OVERRIDE=FY","FILING_STATUS=MR","SCALING_FORMAT=MLN","Sort=A","Dates=H","DateFormat=P","Fill=—","Direction=H","UseDPDF=Y")</f>
        <v>9.5830000000000002</v>
      </c>
      <c r="E18" s="29">
        <f>_xll.BDH("ALGEV FP Equity","OTHER_CURRENT_ASSETS_DETAILED","FY 2012","FY 2012","Currency=EUR","Period=FY","BEST_FPERIOD_OVERRIDE=FY","FILING_STATUS=MR","SCALING_FORMAT=MLN","Sort=A","Dates=H","DateFormat=P","Fill=—","Direction=H","UseDPDF=Y")</f>
        <v>11.7</v>
      </c>
      <c r="F18" s="29">
        <f>_xll.BDH("ALGEV FP Equity","OTHER_CURRENT_ASSETS_DETAILED","FY 2013","FY 2013","Currency=EUR","Period=FY","BEST_FPERIOD_OVERRIDE=FY","FILING_STATUS=MR","SCALING_FORMAT=MLN","Sort=A","Dates=H","DateFormat=P","Fill=—","Direction=H","UseDPDF=Y")</f>
        <v>22.968</v>
      </c>
      <c r="G18" s="29">
        <f>_xll.BDH("ALGEV FP Equity","OTHER_CURRENT_ASSETS_DETAILED","FY 2014","FY 2014","Currency=EUR","Period=FY","BEST_FPERIOD_OVERRIDE=FY","FILING_STATUS=MR","SCALING_FORMAT=MLN","Sort=A","Dates=H","DateFormat=P","Fill=—","Direction=H","UseDPDF=Y")</f>
        <v>19.327999999999999</v>
      </c>
      <c r="H18" s="29">
        <f>_xll.BDH("ALGEV FP Equity","OTHER_CURRENT_ASSETS_DETAILED","FY 2015","FY 2015","Currency=EUR","Period=FY","BEST_FPERIOD_OVERRIDE=FY","FILING_STATUS=MR","SCALING_FORMAT=MLN","Sort=A","Dates=H","DateFormat=P","Fill=—","Direction=H","UseDPDF=Y")</f>
        <v>39.347999999999999</v>
      </c>
      <c r="I18" s="29">
        <f>_xll.BDH("ALGEV FP Equity","OTHER_CURRENT_ASSETS_DETAILED","FY 2016","FY 2016","Currency=EUR","Period=FY","BEST_FPERIOD_OVERRIDE=FY","FILING_STATUS=MR","SCALING_FORMAT=MLN","Sort=A","Dates=H","DateFormat=P","Fill=—","Direction=H","UseDPDF=Y")</f>
        <v>47.433999999999997</v>
      </c>
      <c r="J18" s="29">
        <f>_xll.BDH("ALGEV FP Equity","OTHER_CURRENT_ASSETS_DETAILED","FY 2017","FY 2017","Currency=EUR","Period=FY","BEST_FPERIOD_OVERRIDE=FY","FILING_STATUS=MR","SCALING_FORMAT=MLN","Sort=A","Dates=H","DateFormat=P","Fill=—","Direction=H","UseDPDF=Y")</f>
        <v>72.454999999999998</v>
      </c>
      <c r="K18" s="29">
        <f>_xll.BDH("ALGEV FP Equity","OTHER_CURRENT_ASSETS_DETAILED","FY 2018","FY 2018","Currency=EUR","Period=FY","BEST_FPERIOD_OVERRIDE=FY","FILING_STATUS=MR","SCALING_FORMAT=MLN","Sort=A","Dates=H","DateFormat=P","Fill=—","Direction=H","UseDPDF=Y")</f>
        <v>4.9669999999999996</v>
      </c>
      <c r="L18" s="29">
        <f>_xll.BDH("ALGEV FP Equity","OTHER_CURRENT_ASSETS_DETAILED","FY 2019","FY 2019","Currency=EUR","Period=FY","BEST_FPERIOD_OVERRIDE=FY","FILING_STATUS=MR","SCALING_FORMAT=MLN","Sort=A","Dates=H","DateFormat=P","Fill=—","Direction=H","UseDPDF=Y")</f>
        <v>3.718</v>
      </c>
    </row>
    <row r="19" spans="1:12" x14ac:dyDescent="0.25">
      <c r="A19" s="26" t="s">
        <v>48</v>
      </c>
      <c r="B19" s="26" t="s">
        <v>49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f>_xll.BDH("ALGEV FP Equity","BS_PREPAY","FY 2018","FY 2018","Currency=EUR","Period=FY","BEST_FPERIOD_OVERRIDE=FY","FILING_STATUS=MR","SCALING_FORMAT=MLN","Sort=A","Dates=H","DateFormat=P","Fill=—","Direction=H","UseDPDF=Y")</f>
        <v>0.11899999999999999</v>
      </c>
      <c r="L19" s="29">
        <f>_xll.BDH("ALGEV FP Equity","BS_PREPAY","FY 2019","FY 2019","Currency=EUR","Period=FY","BEST_FPERIOD_OVERRIDE=FY","FILING_STATUS=MR","SCALING_FORMAT=MLN","Sort=A","Dates=H","DateFormat=P","Fill=—","Direction=H","UseDPDF=Y")</f>
        <v>0.33800000000000002</v>
      </c>
    </row>
    <row r="20" spans="1:12" x14ac:dyDescent="0.25">
      <c r="A20" s="26" t="s">
        <v>50</v>
      </c>
      <c r="B20" s="26" t="s">
        <v>51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f>_xll.BDH("ALGEV FP Equity","BS_DERIV_&amp;_HEDGING_ASSETS_ST","FY 2016","FY 2016","Currency=EUR","Period=FY","BEST_FPERIOD_OVERRIDE=FY","FILING_STATUS=MR","SCALING_FORMAT=MLN","Sort=A","Dates=H","DateFormat=P","Fill=—","Direction=H","UseDPDF=Y")</f>
        <v>0</v>
      </c>
      <c r="J20" s="29">
        <f>_xll.BDH("ALGEV FP Equity","BS_DERIV_&amp;_HEDGING_ASSETS_ST","FY 2017","FY 2017","Currency=EUR","Period=FY","BEST_FPERIOD_OVERRIDE=FY","FILING_STATUS=MR","SCALING_FORMAT=MLN","Sort=A","Dates=H","DateFormat=P","Fill=—","Direction=H","UseDPDF=Y")</f>
        <v>0</v>
      </c>
      <c r="K20" s="29">
        <f>_xll.BDH("ALGEV FP Equity","BS_DERIV_&amp;_HEDGING_ASSETS_ST","FY 2018","FY 2018","Currency=EUR","Period=FY","BEST_FPERIOD_OVERRIDE=FY","FILING_STATUS=MR","SCALING_FORMAT=MLN","Sort=A","Dates=H","DateFormat=P","Fill=—","Direction=H","UseDPDF=Y")</f>
        <v>0</v>
      </c>
      <c r="L20" s="29">
        <f>_xll.BDH("ALGEV FP Equity","BS_DERIV_&amp;_HEDGING_ASSETS_ST","FY 2019","FY 2019","Currency=EUR","Period=FY","BEST_FPERIOD_OVERRIDE=FY","FILING_STATUS=MR","SCALING_FORMAT=MLN","Sort=A","Dates=H","DateFormat=P","Fill=—","Direction=H","UseDPDF=Y")</f>
        <v>0</v>
      </c>
    </row>
    <row r="21" spans="1:12" x14ac:dyDescent="0.25">
      <c r="A21" s="26" t="s">
        <v>52</v>
      </c>
      <c r="B21" s="26" t="s">
        <v>53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f>_xll.BDH("ALGEV FP Equity","BS_ASSETS_HELD_FOR_SALE_ST","FY 2016","FY 2016","Currency=EUR","Period=FY","BEST_FPERIOD_OVERRIDE=FY","FILING_STATUS=MR","SCALING_FORMAT=MLN","Sort=A","Dates=H","DateFormat=P","Fill=—","Direction=H","UseDPDF=Y")</f>
        <v>0</v>
      </c>
      <c r="J21" s="29">
        <f>_xll.BDH("ALGEV FP Equity","BS_ASSETS_HELD_FOR_SALE_ST","FY 2017","FY 2017","Currency=EUR","Period=FY","BEST_FPERIOD_OVERRIDE=FY","FILING_STATUS=MR","SCALING_FORMAT=MLN","Sort=A","Dates=H","DateFormat=P","Fill=—","Direction=H","UseDPDF=Y")</f>
        <v>0</v>
      </c>
      <c r="K21" s="29">
        <f>_xll.BDH("ALGEV FP Equity","BS_ASSETS_HELD_FOR_SALE_ST","FY 2018","FY 2018","Currency=EUR","Period=FY","BEST_FPERIOD_OVERRIDE=FY","FILING_STATUS=MR","SCALING_FORMAT=MLN","Sort=A","Dates=H","DateFormat=P","Fill=—","Direction=H","UseDPDF=Y")</f>
        <v>0</v>
      </c>
      <c r="L21" s="29">
        <f>_xll.BDH("ALGEV FP Equity","BS_ASSETS_HELD_FOR_SALE_ST","FY 2019","FY 2019","Currency=EUR","Period=FY","BEST_FPERIOD_OVERRIDE=FY","FILING_STATUS=MR","SCALING_FORMAT=MLN","Sort=A","Dates=H","DateFormat=P","Fill=—","Direction=H","UseDPDF=Y")</f>
        <v>0</v>
      </c>
    </row>
    <row r="22" spans="1:12" x14ac:dyDescent="0.25">
      <c r="A22" s="26" t="s">
        <v>54</v>
      </c>
      <c r="B22" s="26" t="s">
        <v>55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f>_xll.BDH("ALGEV FP Equity","BS_DEFERRED_TAX_ASSETS_ST","FY 2018","FY 2018","Currency=EUR","Period=FY","BEST_FPERIOD_OVERRIDE=FY","FILING_STATUS=MR","SCALING_FORMAT=MLN","Sort=A","Dates=H","DateFormat=P","Fill=—","Direction=H","UseDPDF=Y")</f>
        <v>1.5110000000000001</v>
      </c>
      <c r="L22" s="29">
        <f>_xll.BDH("ALGEV FP Equity","BS_DEFERRED_TAX_ASSETS_ST","FY 2019","FY 2019","Currency=EUR","Period=FY","BEST_FPERIOD_OVERRIDE=FY","FILING_STATUS=MR","SCALING_FORMAT=MLN","Sort=A","Dates=H","DateFormat=P","Fill=—","Direction=H","UseDPDF=Y")</f>
        <v>1.4039999999999999</v>
      </c>
    </row>
    <row r="23" spans="1:12" x14ac:dyDescent="0.25">
      <c r="A23" s="26" t="s">
        <v>56</v>
      </c>
      <c r="B23" s="26" t="s">
        <v>57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f>_xll.BDH("ALGEV FP Equity","BS_TAXES_RECEIVABLE_SHORT_TERM","FY 2016","FY 2016","Currency=EUR","Period=FY","BEST_FPERIOD_OVERRIDE=FY","FILING_STATUS=MR","SCALING_FORMAT=MLN","Sort=A","Dates=H","DateFormat=P","Fill=—","Direction=H","UseDPDF=Y")</f>
        <v>4.5999999999999999E-2</v>
      </c>
      <c r="J23" s="29">
        <f>_xll.BDH("ALGEV FP Equity","BS_TAXES_RECEIVABLE_SHORT_TERM","FY 2017","FY 2017","Currency=EUR","Period=FY","BEST_FPERIOD_OVERRIDE=FY","FILING_STATUS=MR","SCALING_FORMAT=MLN","Sort=A","Dates=H","DateFormat=P","Fill=—","Direction=H","UseDPDF=Y")</f>
        <v>0</v>
      </c>
      <c r="K23" s="29">
        <f>_xll.BDH("ALGEV FP Equity","BS_TAXES_RECEIVABLE_SHORT_TERM","FY 2018","FY 2018","Currency=EUR","Period=FY","BEST_FPERIOD_OVERRIDE=FY","FILING_STATUS=MR","SCALING_FORMAT=MLN","Sort=A","Dates=H","DateFormat=P","Fill=—","Direction=H","UseDPDF=Y")</f>
        <v>1.1950000000000001</v>
      </c>
      <c r="L23" s="29">
        <f>_xll.BDH("ALGEV FP Equity","BS_TAXES_RECEIVABLE_SHORT_TERM","FY 2019","FY 2019","Currency=EUR","Period=FY","BEST_FPERIOD_OVERRIDE=FY","FILING_STATUS=MR","SCALING_FORMAT=MLN","Sort=A","Dates=H","DateFormat=P","Fill=—","Direction=H","UseDPDF=Y")</f>
        <v>0.435</v>
      </c>
    </row>
    <row r="24" spans="1:12" ht="14.45" x14ac:dyDescent="0.35">
      <c r="A24" s="26" t="s">
        <v>58</v>
      </c>
      <c r="B24" s="26" t="s">
        <v>59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f>_xll.BDH("ALGEV FP Equity","BS_OTHER_CUR_ASSET_LESS_PREPAY","FY 2016","FY 2016","Currency=EUR","Period=FY","BEST_FPERIOD_OVERRIDE=FY","FILING_STATUS=MR","SCALING_FORMAT=MLN","Sort=A","Dates=H","DateFormat=P","Fill=—","Direction=H","UseDPDF=Y")</f>
        <v>47.387999999999998</v>
      </c>
      <c r="J24" s="29">
        <f>_xll.BDH("ALGEV FP Equity","BS_OTHER_CUR_ASSET_LESS_PREPAY","FY 2017","FY 2017","Currency=EUR","Period=FY","BEST_FPERIOD_OVERRIDE=FY","FILING_STATUS=MR","SCALING_FORMAT=MLN","Sort=A","Dates=H","DateFormat=P","Fill=—","Direction=H","UseDPDF=Y")</f>
        <v>72.454999999999998</v>
      </c>
      <c r="K24" s="29">
        <f>_xll.BDH("ALGEV FP Equity","BS_OTHER_CUR_ASSET_LESS_PREPAY","FY 2018","FY 2018","Currency=EUR","Period=FY","BEST_FPERIOD_OVERRIDE=FY","FILING_STATUS=MR","SCALING_FORMAT=MLN","Sort=A","Dates=H","DateFormat=P","Fill=—","Direction=H","UseDPDF=Y")</f>
        <v>2.1419999999999999</v>
      </c>
      <c r="L24" s="29">
        <f>_xll.BDH("ALGEV FP Equity","BS_OTHER_CUR_ASSET_LESS_PREPAY","FY 2019","FY 2019","Currency=EUR","Period=FY","BEST_FPERIOD_OVERRIDE=FY","FILING_STATUS=MR","SCALING_FORMAT=MLN","Sort=A","Dates=H","DateFormat=P","Fill=—","Direction=H","UseDPDF=Y")</f>
        <v>1.5409999999999999</v>
      </c>
    </row>
    <row r="25" spans="1:12" ht="14.45" x14ac:dyDescent="0.35">
      <c r="A25" s="22" t="s">
        <v>60</v>
      </c>
      <c r="B25" s="22" t="s">
        <v>61</v>
      </c>
      <c r="C25" s="32">
        <f>_xll.BDH("ALGEV FP Equity","BS_CUR_ASSET_REPORT","FY 2010","FY 2010","Currency=EUR","Period=FY","BEST_FPERIOD_OVERRIDE=FY","FILING_STATUS=MR","SCALING_FORMAT=MLN","Sort=A","Dates=H","DateFormat=P","Fill=—","Direction=H","UseDPDF=Y")</f>
        <v>104.26</v>
      </c>
      <c r="D25" s="32">
        <f>_xll.BDH("ALGEV FP Equity","BS_CUR_ASSET_REPORT","FY 2011","FY 2011","Currency=EUR","Period=FY","BEST_FPERIOD_OVERRIDE=FY","FILING_STATUS=MR","SCALING_FORMAT=MLN","Sort=A","Dates=H","DateFormat=P","Fill=—","Direction=H","UseDPDF=Y")</f>
        <v>118.271</v>
      </c>
      <c r="E25" s="32">
        <f>_xll.BDH("ALGEV FP Equity","BS_CUR_ASSET_REPORT","FY 2012","FY 2012","Currency=EUR","Period=FY","BEST_FPERIOD_OVERRIDE=FY","FILING_STATUS=MR","SCALING_FORMAT=MLN","Sort=A","Dates=H","DateFormat=P","Fill=—","Direction=H","UseDPDF=Y")</f>
        <v>119.06</v>
      </c>
      <c r="F25" s="32">
        <f>_xll.BDH("ALGEV FP Equity","BS_CUR_ASSET_REPORT","FY 2013","FY 2013","Currency=EUR","Period=FY","BEST_FPERIOD_OVERRIDE=FY","FILING_STATUS=MR","SCALING_FORMAT=MLN","Sort=A","Dates=H","DateFormat=P","Fill=—","Direction=H","UseDPDF=Y")</f>
        <v>151.58799999999999</v>
      </c>
      <c r="G25" s="32">
        <f>_xll.BDH("ALGEV FP Equity","BS_CUR_ASSET_REPORT","FY 2014","FY 2014","Currency=EUR","Period=FY","BEST_FPERIOD_OVERRIDE=FY","FILING_STATUS=MR","SCALING_FORMAT=MLN","Sort=A","Dates=H","DateFormat=P","Fill=—","Direction=H","UseDPDF=Y")</f>
        <v>254.34800000000001</v>
      </c>
      <c r="H25" s="32">
        <f>_xll.BDH("ALGEV FP Equity","BS_CUR_ASSET_REPORT","FY 2015","FY 2015","Currency=EUR","Period=FY","BEST_FPERIOD_OVERRIDE=FY","FILING_STATUS=MR","SCALING_FORMAT=MLN","Sort=A","Dates=H","DateFormat=P","Fill=—","Direction=H","UseDPDF=Y")</f>
        <v>238.529</v>
      </c>
      <c r="I25" s="32">
        <f>_xll.BDH("ALGEV FP Equity","BS_CUR_ASSET_REPORT","FY 2016","FY 2016","Currency=EUR","Period=FY","BEST_FPERIOD_OVERRIDE=FY","FILING_STATUS=MR","SCALING_FORMAT=MLN","Sort=A","Dates=H","DateFormat=P","Fill=—","Direction=H","UseDPDF=Y")</f>
        <v>268.88799999999998</v>
      </c>
      <c r="J25" s="32">
        <f>_xll.BDH("ALGEV FP Equity","BS_CUR_ASSET_REPORT","FY 2017","FY 2017","Currency=EUR","Period=FY","BEST_FPERIOD_OVERRIDE=FY","FILING_STATUS=MR","SCALING_FORMAT=MLN","Sort=A","Dates=H","DateFormat=P","Fill=—","Direction=H","UseDPDF=Y")</f>
        <v>254.21600000000001</v>
      </c>
      <c r="K25" s="32">
        <f>_xll.BDH("ALGEV FP Equity","BS_CUR_ASSET_REPORT","FY 2018","FY 2018","Currency=EUR","Period=FY","BEST_FPERIOD_OVERRIDE=FY","FILING_STATUS=MR","SCALING_FORMAT=MLN","Sort=A","Dates=H","DateFormat=P","Fill=—","Direction=H","UseDPDF=Y")</f>
        <v>244.44200000000001</v>
      </c>
      <c r="L25" s="32">
        <f>_xll.BDH("ALGEV FP Equity","BS_CUR_ASSET_REPORT","FY 2019","FY 2019","Currency=EUR","Period=FY","BEST_FPERIOD_OVERRIDE=FY","FILING_STATUS=MR","SCALING_FORMAT=MLN","Sort=A","Dates=H","DateFormat=P","Fill=—","Direction=H","UseDPDF=Y")</f>
        <v>243.50399999999999</v>
      </c>
    </row>
    <row r="26" spans="1:12" x14ac:dyDescent="0.25">
      <c r="A26" s="26" t="s">
        <v>62</v>
      </c>
      <c r="B26" s="26" t="s">
        <v>63</v>
      </c>
      <c r="C26" s="29">
        <f>_xll.BDH("ALGEV FP Equity","BS_NET_FIX_ASSET","FY 2010","FY 2010","Currency=EUR","Period=FY","BEST_FPERIOD_OVERRIDE=FY","FILING_STATUS=MR","SCALING_FORMAT=MLN","Sort=A","Dates=H","DateFormat=P","Fill=—","Direction=H","UseDPDF=Y")</f>
        <v>87.701999999999998</v>
      </c>
      <c r="D26" s="29">
        <f>_xll.BDH("ALGEV FP Equity","BS_NET_FIX_ASSET","FY 2011","FY 2011","Currency=EUR","Period=FY","BEST_FPERIOD_OVERRIDE=FY","FILING_STATUS=MR","SCALING_FORMAT=MLN","Sort=A","Dates=H","DateFormat=P","Fill=—","Direction=H","UseDPDF=Y")</f>
        <v>84.855000000000004</v>
      </c>
      <c r="E26" s="29">
        <f>_xll.BDH("ALGEV FP Equity","BS_NET_FIX_ASSET","FY 2012","FY 2012","Currency=EUR","Period=FY","BEST_FPERIOD_OVERRIDE=FY","FILING_STATUS=MR","SCALING_FORMAT=MLN","Sort=A","Dates=H","DateFormat=P","Fill=—","Direction=H","UseDPDF=Y")</f>
        <v>65.989999999999995</v>
      </c>
      <c r="F26" s="29">
        <f>_xll.BDH("ALGEV FP Equity","BS_NET_FIX_ASSET","FY 2013","FY 2013","Currency=EUR","Period=FY","BEST_FPERIOD_OVERRIDE=FY","FILING_STATUS=MR","SCALING_FORMAT=MLN","Sort=A","Dates=H","DateFormat=P","Fill=—","Direction=H","UseDPDF=Y")</f>
        <v>64.180999999999997</v>
      </c>
      <c r="G26" s="29">
        <f>_xll.BDH("ALGEV FP Equity","BS_NET_FIX_ASSET","FY 2014","FY 2014","Currency=EUR","Period=FY","BEST_FPERIOD_OVERRIDE=FY","FILING_STATUS=MR","SCALING_FORMAT=MLN","Sort=A","Dates=H","DateFormat=P","Fill=—","Direction=H","UseDPDF=Y")</f>
        <v>75.581000000000003</v>
      </c>
      <c r="H26" s="29">
        <f>_xll.BDH("ALGEV FP Equity","BS_NET_FIX_ASSET","FY 2015","FY 2015","Currency=EUR","Period=FY","BEST_FPERIOD_OVERRIDE=FY","FILING_STATUS=MR","SCALING_FORMAT=MLN","Sort=A","Dates=H","DateFormat=P","Fill=—","Direction=H","UseDPDF=Y")</f>
        <v>79.209000000000003</v>
      </c>
      <c r="I26" s="29">
        <f>_xll.BDH("ALGEV FP Equity","BS_NET_FIX_ASSET","FY 2016","FY 2016","Currency=EUR","Period=FY","BEST_FPERIOD_OVERRIDE=FY","FILING_STATUS=MR","SCALING_FORMAT=MLN","Sort=A","Dates=H","DateFormat=P","Fill=—","Direction=H","UseDPDF=Y")</f>
        <v>72.927000000000007</v>
      </c>
      <c r="J26" s="29">
        <f>_xll.BDH("ALGEV FP Equity","BS_NET_FIX_ASSET","FY 2017","FY 2017","Currency=EUR","Period=FY","BEST_FPERIOD_OVERRIDE=FY","FILING_STATUS=MR","SCALING_FORMAT=MLN","Sort=A","Dates=H","DateFormat=P","Fill=—","Direction=H","UseDPDF=Y")</f>
        <v>32.993000000000002</v>
      </c>
      <c r="K26" s="29">
        <f>_xll.BDH("ALGEV FP Equity","BS_NET_FIX_ASSET","FY 2018","FY 2018","Currency=EUR","Period=FY","BEST_FPERIOD_OVERRIDE=FY","FILING_STATUS=MR","SCALING_FORMAT=MLN","Sort=A","Dates=H","DateFormat=P","Fill=—","Direction=H","UseDPDF=Y")</f>
        <v>32.612000000000002</v>
      </c>
      <c r="L26" s="29">
        <f>_xll.BDH("ALGEV FP Equity","BS_NET_FIX_ASSET","FY 2019","FY 2019","Currency=EUR","Period=FY","BEST_FPERIOD_OVERRIDE=FY","FILING_STATUS=MR","SCALING_FORMAT=MLN","Sort=A","Dates=H","DateFormat=P","Fill=—","Direction=H","UseDPDF=Y")</f>
        <v>40.448999999999998</v>
      </c>
    </row>
    <row r="27" spans="1:12" x14ac:dyDescent="0.25">
      <c r="A27" s="26" t="s">
        <v>64</v>
      </c>
      <c r="B27" s="26" t="s">
        <v>65</v>
      </c>
      <c r="C27" s="29">
        <f>_xll.BDH("ALGEV FP Equity","BS_GROSS_FIX_ASSET","FY 2010","FY 2010","Currency=EUR","Period=FY","BEST_FPERIOD_OVERRIDE=FY","FILING_STATUS=MR","SCALING_FORMAT=MLN","Sort=A","Dates=H","DateFormat=P","Fill=—","Direction=H","UseDPDF=Y")</f>
        <v>235.339</v>
      </c>
      <c r="D27" s="29">
        <f>_xll.BDH("ALGEV FP Equity","BS_GROSS_FIX_ASSET","FY 2011","FY 2011","Currency=EUR","Period=FY","BEST_FPERIOD_OVERRIDE=FY","FILING_STATUS=MR","SCALING_FORMAT=MLN","Sort=A","Dates=H","DateFormat=P","Fill=—","Direction=H","UseDPDF=Y")</f>
        <v>238.53700000000001</v>
      </c>
      <c r="E27" s="29">
        <f>_xll.BDH("ALGEV FP Equity","BS_GROSS_FIX_ASSET","FY 2012","FY 2012","Currency=EUR","Period=FY","BEST_FPERIOD_OVERRIDE=FY","FILING_STATUS=MR","SCALING_FORMAT=MLN","Sort=A","Dates=H","DateFormat=P","Fill=—","Direction=H","UseDPDF=Y")</f>
        <v>245.232</v>
      </c>
      <c r="F27" s="29">
        <f>_xll.BDH("ALGEV FP Equity","BS_GROSS_FIX_ASSET","FY 2013","FY 2013","Currency=EUR","Period=FY","BEST_FPERIOD_OVERRIDE=FY","FILING_STATUS=MR","SCALING_FORMAT=MLN","Sort=A","Dates=H","DateFormat=P","Fill=—","Direction=H","UseDPDF=Y")</f>
        <v>251.75700000000001</v>
      </c>
      <c r="G27" s="29">
        <f>_xll.BDH("ALGEV FP Equity","BS_GROSS_FIX_ASSET","FY 2014","FY 2014","Currency=EUR","Period=FY","BEST_FPERIOD_OVERRIDE=FY","FILING_STATUS=MR","SCALING_FORMAT=MLN","Sort=A","Dates=H","DateFormat=P","Fill=—","Direction=H","UseDPDF=Y")</f>
        <v>258.91899999999998</v>
      </c>
      <c r="H27" s="29">
        <f>_xll.BDH("ALGEV FP Equity","BS_GROSS_FIX_ASSET","FY 2015","FY 2015","Currency=EUR","Period=FY","BEST_FPERIOD_OVERRIDE=FY","FILING_STATUS=MR","SCALING_FORMAT=MLN","Sort=A","Dates=H","DateFormat=P","Fill=—","Direction=H","UseDPDF=Y")</f>
        <v>269.48399999999998</v>
      </c>
      <c r="I27" s="29">
        <f>_xll.BDH("ALGEV FP Equity","BS_GROSS_FIX_ASSET","FY 2016","FY 2016","Currency=EUR","Period=FY","BEST_FPERIOD_OVERRIDE=FY","FILING_STATUS=MR","SCALING_FORMAT=MLN","Sort=A","Dates=H","DateFormat=P","Fill=—","Direction=H","UseDPDF=Y")</f>
        <v>279.07299999999998</v>
      </c>
      <c r="J27" s="29">
        <f>_xll.BDH("ALGEV FP Equity","BS_GROSS_FIX_ASSET","FY 2017","FY 2017","Currency=EUR","Period=FY","BEST_FPERIOD_OVERRIDE=FY","FILING_STATUS=MR","SCALING_FORMAT=MLN","Sort=A","Dates=H","DateFormat=P","Fill=—","Direction=H","UseDPDF=Y")</f>
        <v>60.338000000000001</v>
      </c>
      <c r="K27" s="29">
        <f>_xll.BDH("ALGEV FP Equity","BS_GROSS_FIX_ASSET","FY 2018","FY 2018","Currency=EUR","Period=FY","BEST_FPERIOD_OVERRIDE=FY","FILING_STATUS=MR","SCALING_FORMAT=MLN","Sort=A","Dates=H","DateFormat=P","Fill=—","Direction=H","UseDPDF=Y")</f>
        <v>61.698</v>
      </c>
      <c r="L27" s="29">
        <f>_xll.BDH("ALGEV FP Equity","BS_GROSS_FIX_ASSET","FY 2019","FY 2019","Currency=EUR","Period=FY","BEST_FPERIOD_OVERRIDE=FY","FILING_STATUS=MR","SCALING_FORMAT=MLN","Sort=A","Dates=H","DateFormat=P","Fill=—","Direction=H","UseDPDF=Y")</f>
        <v>76.281999999999996</v>
      </c>
    </row>
    <row r="28" spans="1:12" x14ac:dyDescent="0.25">
      <c r="A28" s="26" t="s">
        <v>66</v>
      </c>
      <c r="B28" s="26" t="s">
        <v>67</v>
      </c>
      <c r="C28" s="29">
        <f>_xll.BDH("ALGEV FP Equity","BS_ACCUM_DEPR","FY 2010","FY 2010","Currency=EUR","Period=FY","BEST_FPERIOD_OVERRIDE=FY","FILING_STATUS=MR","SCALING_FORMAT=MLN","Sort=A","Dates=H","DateFormat=P","Fill=—","Direction=H","UseDPDF=Y")</f>
        <v>147.637</v>
      </c>
      <c r="D28" s="29">
        <f>_xll.BDH("ALGEV FP Equity","BS_ACCUM_DEPR","FY 2011","FY 2011","Currency=EUR","Period=FY","BEST_FPERIOD_OVERRIDE=FY","FILING_STATUS=MR","SCALING_FORMAT=MLN","Sort=A","Dates=H","DateFormat=P","Fill=—","Direction=H","UseDPDF=Y")</f>
        <v>153.68199999999999</v>
      </c>
      <c r="E28" s="29">
        <f>_xll.BDH("ALGEV FP Equity","BS_ACCUM_DEPR","FY 2012","FY 2012","Currency=EUR","Period=FY","BEST_FPERIOD_OVERRIDE=FY","FILING_STATUS=MR","SCALING_FORMAT=MLN","Sort=A","Dates=H","DateFormat=P","Fill=—","Direction=H","UseDPDF=Y")</f>
        <v>179.24199999999999</v>
      </c>
      <c r="F28" s="29">
        <f>_xll.BDH("ALGEV FP Equity","BS_ACCUM_DEPR","FY 2013","FY 2013","Currency=EUR","Period=FY","BEST_FPERIOD_OVERRIDE=FY","FILING_STATUS=MR","SCALING_FORMAT=MLN","Sort=A","Dates=H","DateFormat=P","Fill=—","Direction=H","UseDPDF=Y")</f>
        <v>187.57599999999999</v>
      </c>
      <c r="G28" s="29">
        <f>_xll.BDH("ALGEV FP Equity","BS_ACCUM_DEPR","FY 2014","FY 2014","Currency=EUR","Period=FY","BEST_FPERIOD_OVERRIDE=FY","FILING_STATUS=MR","SCALING_FORMAT=MLN","Sort=A","Dates=H","DateFormat=P","Fill=—","Direction=H","UseDPDF=Y")</f>
        <v>183.33799999999999</v>
      </c>
      <c r="H28" s="29">
        <f>_xll.BDH("ALGEV FP Equity","BS_ACCUM_DEPR","FY 2015","FY 2015","Currency=EUR","Period=FY","BEST_FPERIOD_OVERRIDE=FY","FILING_STATUS=MR","SCALING_FORMAT=MLN","Sort=A","Dates=H","DateFormat=P","Fill=—","Direction=H","UseDPDF=Y")</f>
        <v>190.27500000000001</v>
      </c>
      <c r="I28" s="29">
        <f>_xll.BDH("ALGEV FP Equity","BS_ACCUM_DEPR","FY 2016","FY 2016","Currency=EUR","Period=FY","BEST_FPERIOD_OVERRIDE=FY","FILING_STATUS=MR","SCALING_FORMAT=MLN","Sort=A","Dates=H","DateFormat=P","Fill=—","Direction=H","UseDPDF=Y")</f>
        <v>206.14599999999999</v>
      </c>
      <c r="J28" s="29">
        <f>_xll.BDH("ALGEV FP Equity","BS_ACCUM_DEPR","FY 2017","FY 2017","Currency=EUR","Period=FY","BEST_FPERIOD_OVERRIDE=FY","FILING_STATUS=MR","SCALING_FORMAT=MLN","Sort=A","Dates=H","DateFormat=P","Fill=—","Direction=H","UseDPDF=Y")</f>
        <v>27.344999999999999</v>
      </c>
      <c r="K28" s="29">
        <f>_xll.BDH("ALGEV FP Equity","BS_ACCUM_DEPR","FY 2018","FY 2018","Currency=EUR","Period=FY","BEST_FPERIOD_OVERRIDE=FY","FILING_STATUS=MR","SCALING_FORMAT=MLN","Sort=A","Dates=H","DateFormat=P","Fill=—","Direction=H","UseDPDF=Y")</f>
        <v>29.085999999999999</v>
      </c>
      <c r="L28" s="29">
        <f>_xll.BDH("ALGEV FP Equity","BS_ACCUM_DEPR","FY 2019","FY 2019","Currency=EUR","Period=FY","BEST_FPERIOD_OVERRIDE=FY","FILING_STATUS=MR","SCALING_FORMAT=MLN","Sort=A","Dates=H","DateFormat=P","Fill=—","Direction=H","UseDPDF=Y")</f>
        <v>35.832999999999998</v>
      </c>
    </row>
    <row r="29" spans="1:12" ht="14.45" x14ac:dyDescent="0.35">
      <c r="A29" s="26" t="s">
        <v>68</v>
      </c>
      <c r="B29" s="26" t="s">
        <v>69</v>
      </c>
      <c r="C29" s="29">
        <f>_xll.BDH("ALGEV FP Equity","BS_LT_INVEST","FY 2010","FY 2010","Currency=EUR","Period=FY","BEST_FPERIOD_OVERRIDE=FY","FILING_STATUS=MR","SCALING_FORMAT=MLN","Sort=A","Dates=H","DateFormat=P","Fill=—","Direction=H","UseDPDF=Y")</f>
        <v>1.3919999999999999</v>
      </c>
      <c r="D29" s="29">
        <f>_xll.BDH("ALGEV FP Equity","BS_LT_INVEST","FY 2011","FY 2011","Currency=EUR","Period=FY","BEST_FPERIOD_OVERRIDE=FY","FILING_STATUS=MR","SCALING_FORMAT=MLN","Sort=A","Dates=H","DateFormat=P","Fill=—","Direction=H","UseDPDF=Y")</f>
        <v>1.292</v>
      </c>
      <c r="E29" s="29">
        <f>_xll.BDH("ALGEV FP Equity","BS_LT_INVEST","FY 2012","FY 2012","Currency=EUR","Period=FY","BEST_FPERIOD_OVERRIDE=FY","FILING_STATUS=MR","SCALING_FORMAT=MLN","Sort=A","Dates=H","DateFormat=P","Fill=—","Direction=H","UseDPDF=Y")</f>
        <v>1.482</v>
      </c>
      <c r="F29" s="29">
        <f>_xll.BDH("ALGEV FP Equity","BS_LT_INVEST","FY 2013","FY 2013","Currency=EUR","Period=FY","BEST_FPERIOD_OVERRIDE=FY","FILING_STATUS=MR","SCALING_FORMAT=MLN","Sort=A","Dates=H","DateFormat=P","Fill=—","Direction=H","UseDPDF=Y")</f>
        <v>1.6320000000000001</v>
      </c>
      <c r="G29" s="29">
        <f>_xll.BDH("ALGEV FP Equity","BS_LT_INVEST","FY 2014","FY 2014","Currency=EUR","Period=FY","BEST_FPERIOD_OVERRIDE=FY","FILING_STATUS=MR","SCALING_FORMAT=MLN","Sort=A","Dates=H","DateFormat=P","Fill=—","Direction=H","UseDPDF=Y")</f>
        <v>1.661</v>
      </c>
      <c r="H29" s="29">
        <f>_xll.BDH("ALGEV FP Equity","BS_LT_INVEST","FY 2015","FY 2015","Currency=EUR","Period=FY","BEST_FPERIOD_OVERRIDE=FY","FILING_STATUS=MR","SCALING_FORMAT=MLN","Sort=A","Dates=H","DateFormat=P","Fill=—","Direction=H","UseDPDF=Y")</f>
        <v>1.534</v>
      </c>
      <c r="I29" s="29">
        <f>_xll.BDH("ALGEV FP Equity","BS_LT_INVEST","FY 2016","FY 2016","Currency=EUR","Period=FY","BEST_FPERIOD_OVERRIDE=FY","FILING_STATUS=MR","SCALING_FORMAT=MLN","Sort=A","Dates=H","DateFormat=P","Fill=—","Direction=H","UseDPDF=Y")</f>
        <v>1.492</v>
      </c>
      <c r="J29" s="29">
        <f>_xll.BDH("ALGEV FP Equity","BS_LT_INVEST","FY 2017","FY 2017","Currency=EUR","Period=FY","BEST_FPERIOD_OVERRIDE=FY","FILING_STATUS=MR","SCALING_FORMAT=MLN","Sort=A","Dates=H","DateFormat=P","Fill=—","Direction=H","UseDPDF=Y")</f>
        <v>0.44900000000000001</v>
      </c>
      <c r="K29" s="29">
        <f>_xll.BDH("ALGEV FP Equity","BS_LT_INVEST","FY 2018","FY 2018","Currency=EUR","Period=FY","BEST_FPERIOD_OVERRIDE=FY","FILING_STATUS=MR","SCALING_FORMAT=MLN","Sort=A","Dates=H","DateFormat=P","Fill=—","Direction=H","UseDPDF=Y")</f>
        <v>0.42</v>
      </c>
      <c r="L29" s="29">
        <f>_xll.BDH("ALGEV FP Equity","BS_LT_INVEST","FY 2019","FY 2019","Currency=EUR","Period=FY","BEST_FPERIOD_OVERRIDE=FY","FILING_STATUS=MR","SCALING_FORMAT=MLN","Sort=A","Dates=H","DateFormat=P","Fill=—","Direction=H","UseDPDF=Y")</f>
        <v>0.48599999999999999</v>
      </c>
    </row>
    <row r="30" spans="1:12" ht="14.45" x14ac:dyDescent="0.35">
      <c r="A30" s="26" t="s">
        <v>70</v>
      </c>
      <c r="B30" s="26" t="s">
        <v>71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f>_xll.BDH("ALGEV FP Equity","BS_LONG_TERM_INVESTMENTS","FY 2016","FY 2016","Currency=EUR","Period=FY","BEST_FPERIOD_OVERRIDE=FY","FILING_STATUS=MR","SCALING_FORMAT=MLN","Sort=A","Dates=H","DateFormat=P","Fill=—","Direction=H","UseDPDF=Y")</f>
        <v>1.1839999999999999</v>
      </c>
      <c r="J30" s="29">
        <f>_xll.BDH("ALGEV FP Equity","BS_LONG_TERM_INVESTMENTS","FY 2017","FY 2017","Currency=EUR","Period=FY","BEST_FPERIOD_OVERRIDE=FY","FILING_STATUS=MR","SCALING_FORMAT=MLN","Sort=A","Dates=H","DateFormat=P","Fill=—","Direction=H","UseDPDF=Y")</f>
        <v>0.26</v>
      </c>
      <c r="K30" s="29">
        <f>_xll.BDH("ALGEV FP Equity","BS_LONG_TERM_INVESTMENTS","FY 2018","FY 2018","Currency=EUR","Period=FY","BEST_FPERIOD_OVERRIDE=FY","FILING_STATUS=MR","SCALING_FORMAT=MLN","Sort=A","Dates=H","DateFormat=P","Fill=—","Direction=H","UseDPDF=Y")</f>
        <v>0.252</v>
      </c>
      <c r="L30" s="29">
        <f>_xll.BDH("ALGEV FP Equity","BS_LONG_TERM_INVESTMENTS","FY 2019","FY 2019","Currency=EUR","Period=FY","BEST_FPERIOD_OVERRIDE=FY","FILING_STATUS=MR","SCALING_FORMAT=MLN","Sort=A","Dates=H","DateFormat=P","Fill=—","Direction=H","UseDPDF=Y")</f>
        <v>0.33600000000000002</v>
      </c>
    </row>
    <row r="31" spans="1:12" ht="14.45" x14ac:dyDescent="0.35">
      <c r="A31" s="26" t="s">
        <v>72</v>
      </c>
      <c r="B31" s="26" t="s">
        <v>73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f>_xll.BDH("ALGEV FP Equity","BS_LT_RECEIVABLES","FY 2016","FY 2016","Currency=EUR","Period=FY","BEST_FPERIOD_OVERRIDE=FY","FILING_STATUS=MR","SCALING_FORMAT=MLN","Sort=A","Dates=H","DateFormat=P","Fill=—","Direction=H","UseDPDF=Y")</f>
        <v>0.308</v>
      </c>
      <c r="J31" s="29">
        <f>_xll.BDH("ALGEV FP Equity","BS_LT_RECEIVABLES","FY 2017","FY 2017","Currency=EUR","Period=FY","BEST_FPERIOD_OVERRIDE=FY","FILING_STATUS=MR","SCALING_FORMAT=MLN","Sort=A","Dates=H","DateFormat=P","Fill=—","Direction=H","UseDPDF=Y")</f>
        <v>0.189</v>
      </c>
      <c r="K31" s="29">
        <f>_xll.BDH("ALGEV FP Equity","BS_LT_RECEIVABLES","FY 2018","FY 2018","Currency=EUR","Period=FY","BEST_FPERIOD_OVERRIDE=FY","FILING_STATUS=MR","SCALING_FORMAT=MLN","Sort=A","Dates=H","DateFormat=P","Fill=—","Direction=H","UseDPDF=Y")</f>
        <v>0.16800000000000001</v>
      </c>
      <c r="L31" s="29">
        <f>_xll.BDH("ALGEV FP Equity","BS_LT_RECEIVABLES","FY 2019","FY 2019","Currency=EUR","Period=FY","BEST_FPERIOD_OVERRIDE=FY","FILING_STATUS=MR","SCALING_FORMAT=MLN","Sort=A","Dates=H","DateFormat=P","Fill=—","Direction=H","UseDPDF=Y")</f>
        <v>0.15</v>
      </c>
    </row>
    <row r="32" spans="1:12" ht="14.45" x14ac:dyDescent="0.35">
      <c r="A32" s="26" t="s">
        <v>74</v>
      </c>
      <c r="B32" s="26" t="s">
        <v>75</v>
      </c>
      <c r="C32" s="29">
        <f>_xll.BDH("ALGEV FP Equity","BS_OTHER_ASSETS_DEF_CHRG_OTHER","FY 2010","FY 2010","Currency=EUR","Period=FY","BEST_FPERIOD_OVERRIDE=FY","FILING_STATUS=MR","SCALING_FORMAT=MLN","Sort=A","Dates=H","DateFormat=P","Fill=—","Direction=H","UseDPDF=Y")</f>
        <v>15.191000000000001</v>
      </c>
      <c r="D32" s="29">
        <f>_xll.BDH("ALGEV FP Equity","BS_OTHER_ASSETS_DEF_CHRG_OTHER","FY 2011","FY 2011","Currency=EUR","Period=FY","BEST_FPERIOD_OVERRIDE=FY","FILING_STATUS=MR","SCALING_FORMAT=MLN","Sort=A","Dates=H","DateFormat=P","Fill=—","Direction=H","UseDPDF=Y")</f>
        <v>20.172999999999998</v>
      </c>
      <c r="E32" s="29">
        <f>_xll.BDH("ALGEV FP Equity","BS_OTHER_ASSETS_DEF_CHRG_OTHER","FY 2012","FY 2012","Currency=EUR","Period=FY","BEST_FPERIOD_OVERRIDE=FY","FILING_STATUS=MR","SCALING_FORMAT=MLN","Sort=A","Dates=H","DateFormat=P","Fill=—","Direction=H","UseDPDF=Y")</f>
        <v>16.2</v>
      </c>
      <c r="F32" s="29">
        <f>_xll.BDH("ALGEV FP Equity","BS_OTHER_ASSETS_DEF_CHRG_OTHER","FY 2013","FY 2013","Currency=EUR","Period=FY","BEST_FPERIOD_OVERRIDE=FY","FILING_STATUS=MR","SCALING_FORMAT=MLN","Sort=A","Dates=H","DateFormat=P","Fill=—","Direction=H","UseDPDF=Y")</f>
        <v>5.8</v>
      </c>
      <c r="G32" s="29">
        <f>_xll.BDH("ALGEV FP Equity","BS_OTHER_ASSETS_DEF_CHRG_OTHER","FY 2014","FY 2014","Currency=EUR","Period=FY","BEST_FPERIOD_OVERRIDE=FY","FILING_STATUS=MR","SCALING_FORMAT=MLN","Sort=A","Dates=H","DateFormat=P","Fill=—","Direction=H","UseDPDF=Y")</f>
        <v>9.8309999999999995</v>
      </c>
      <c r="H32" s="29">
        <f>_xll.BDH("ALGEV FP Equity","BS_OTHER_ASSETS_DEF_CHRG_OTHER","FY 2015","FY 2015","Currency=EUR","Period=FY","BEST_FPERIOD_OVERRIDE=FY","FILING_STATUS=MR","SCALING_FORMAT=MLN","Sort=A","Dates=H","DateFormat=P","Fill=—","Direction=H","UseDPDF=Y")</f>
        <v>5.4349999999999996</v>
      </c>
      <c r="I32" s="29">
        <f>_xll.BDH("ALGEV FP Equity","BS_OTHER_ASSETS_DEF_CHRG_OTHER","FY 2016","FY 2016","Currency=EUR","Period=FY","BEST_FPERIOD_OVERRIDE=FY","FILING_STATUS=MR","SCALING_FORMAT=MLN","Sort=A","Dates=H","DateFormat=P","Fill=—","Direction=H","UseDPDF=Y")</f>
        <v>8.4589999999999996</v>
      </c>
      <c r="J32" s="29">
        <f>_xll.BDH("ALGEV FP Equity","BS_OTHER_ASSETS_DEF_CHRG_OTHER","FY 2017","FY 2017","Currency=EUR","Period=FY","BEST_FPERIOD_OVERRIDE=FY","FILING_STATUS=MR","SCALING_FORMAT=MLN","Sort=A","Dates=H","DateFormat=P","Fill=—","Direction=H","UseDPDF=Y")</f>
        <v>3.3130000000000002</v>
      </c>
      <c r="K32" s="29">
        <f>_xll.BDH("ALGEV FP Equity","BS_OTHER_ASSETS_DEF_CHRG_OTHER","FY 2018","FY 2018","Currency=EUR","Period=FY","BEST_FPERIOD_OVERRIDE=FY","FILING_STATUS=MR","SCALING_FORMAT=MLN","Sort=A","Dates=H","DateFormat=P","Fill=—","Direction=H","UseDPDF=Y")</f>
        <v>3.0720000000000001</v>
      </c>
      <c r="L32" s="29">
        <f>_xll.BDH("ALGEV FP Equity","BS_OTHER_ASSETS_DEF_CHRG_OTHER","FY 2019","FY 2019","Currency=EUR","Period=FY","BEST_FPERIOD_OVERRIDE=FY","FILING_STATUS=MR","SCALING_FORMAT=MLN","Sort=A","Dates=H","DateFormat=P","Fill=—","Direction=H","UseDPDF=Y")</f>
        <v>11.928000000000001</v>
      </c>
    </row>
    <row r="33" spans="1:12" ht="14.45" x14ac:dyDescent="0.35">
      <c r="A33" s="26" t="s">
        <v>76</v>
      </c>
      <c r="B33" s="26" t="s">
        <v>77</v>
      </c>
      <c r="C33" s="29">
        <f>_xll.BDH("ALGEV FP Equity","BS_DISCLOSED_INTANGIBLES","FY 2010","FY 2010","Currency=EUR","Period=FY","BEST_FPERIOD_OVERRIDE=FY","FILING_STATUS=MR","SCALING_FORMAT=MLN","Sort=A","Dates=H","DateFormat=P","Fill=—","Direction=H","UseDPDF=Y")</f>
        <v>5.6609999999999996</v>
      </c>
      <c r="D33" s="29">
        <f>_xll.BDH("ALGEV FP Equity","BS_DISCLOSED_INTANGIBLES","FY 2011","FY 2011","Currency=EUR","Period=FY","BEST_FPERIOD_OVERRIDE=FY","FILING_STATUS=MR","SCALING_FORMAT=MLN","Sort=A","Dates=H","DateFormat=P","Fill=—","Direction=H","UseDPDF=Y")</f>
        <v>6.2939999999999996</v>
      </c>
      <c r="E33" s="29">
        <f>_xll.BDH("ALGEV FP Equity","BS_DISCLOSED_INTANGIBLES","FY 2012","FY 2012","Currency=EUR","Period=FY","BEST_FPERIOD_OVERRIDE=FY","FILING_STATUS=MR","SCALING_FORMAT=MLN","Sort=A","Dates=H","DateFormat=P","Fill=—","Direction=H","UseDPDF=Y")</f>
        <v>11.407</v>
      </c>
      <c r="F33" s="29">
        <f>_xll.BDH("ALGEV FP Equity","BS_DISCLOSED_INTANGIBLES","FY 2013","FY 2013","Currency=EUR","Period=FY","BEST_FPERIOD_OVERRIDE=FY","FILING_STATUS=MR","SCALING_FORMAT=MLN","Sort=A","Dates=H","DateFormat=P","Fill=—","Direction=H","UseDPDF=Y")</f>
        <v>5.8</v>
      </c>
      <c r="G33" s="29">
        <f>_xll.BDH("ALGEV FP Equity","BS_DISCLOSED_INTANGIBLES","FY 2014","FY 2014","Currency=EUR","Period=FY","BEST_FPERIOD_OVERRIDE=FY","FILING_STATUS=MR","SCALING_FORMAT=MLN","Sort=A","Dates=H","DateFormat=P","Fill=—","Direction=H","UseDPDF=Y")</f>
        <v>9.8309999999999995</v>
      </c>
      <c r="H33" s="29">
        <f>_xll.BDH("ALGEV FP Equity","BS_DISCLOSED_INTANGIBLES","FY 2015","FY 2015","Currency=EUR","Period=FY","BEST_FPERIOD_OVERRIDE=FY","FILING_STATUS=MR","SCALING_FORMAT=MLN","Sort=A","Dates=H","DateFormat=P","Fill=—","Direction=H","UseDPDF=Y")</f>
        <v>5.4349999999999996</v>
      </c>
      <c r="I33" s="29">
        <f>_xll.BDH("ALGEV FP Equity","BS_DISCLOSED_INTANGIBLES","FY 2016","FY 2016","Currency=EUR","Period=FY","BEST_FPERIOD_OVERRIDE=FY","FILING_STATUS=MR","SCALING_FORMAT=MLN","Sort=A","Dates=H","DateFormat=P","Fill=—","Direction=H","UseDPDF=Y")</f>
        <v>6.3369999999999997</v>
      </c>
      <c r="J33" s="29">
        <f>_xll.BDH("ALGEV FP Equity","BS_DISCLOSED_INTANGIBLES","FY 2017","FY 2017","Currency=EUR","Period=FY","BEST_FPERIOD_OVERRIDE=FY","FILING_STATUS=MR","SCALING_FORMAT=MLN","Sort=A","Dates=H","DateFormat=P","Fill=—","Direction=H","UseDPDF=Y")</f>
        <v>3.056</v>
      </c>
      <c r="K33" s="29">
        <f>_xll.BDH("ALGEV FP Equity","BS_DISCLOSED_INTANGIBLES","FY 2018","FY 2018","Currency=EUR","Period=FY","BEST_FPERIOD_OVERRIDE=FY","FILING_STATUS=MR","SCALING_FORMAT=MLN","Sort=A","Dates=H","DateFormat=P","Fill=—","Direction=H","UseDPDF=Y")</f>
        <v>2.8860000000000001</v>
      </c>
      <c r="L33" s="29">
        <f>_xll.BDH("ALGEV FP Equity","BS_DISCLOSED_INTANGIBLES","FY 2019","FY 2019","Currency=EUR","Period=FY","BEST_FPERIOD_OVERRIDE=FY","FILING_STATUS=MR","SCALING_FORMAT=MLN","Sort=A","Dates=H","DateFormat=P","Fill=—","Direction=H","UseDPDF=Y")</f>
        <v>11.564</v>
      </c>
    </row>
    <row r="34" spans="1:12" ht="14.45" x14ac:dyDescent="0.35">
      <c r="A34" s="27" t="s">
        <v>78</v>
      </c>
      <c r="B34" s="27" t="s">
        <v>79</v>
      </c>
      <c r="C34" s="33">
        <f>_xll.BDH("ALGEV FP Equity","BS_GOODWILL","FY 2010","FY 2010","Currency=EUR","Period=FY","BEST_FPERIOD_OVERRIDE=FY","FILING_STATUS=MR","SCALING_FORMAT=MLN","Sort=A","Dates=H","DateFormat=P","Fill=—","Direction=H","UseDPDF=Y")</f>
        <v>0.92300000000000004</v>
      </c>
      <c r="D34" s="33">
        <f>_xll.BDH("ALGEV FP Equity","BS_GOODWILL","FY 2011","FY 2011","Currency=EUR","Period=FY","BEST_FPERIOD_OVERRIDE=FY","FILING_STATUS=MR","SCALING_FORMAT=MLN","Sort=A","Dates=H","DateFormat=P","Fill=—","Direction=H","UseDPDF=Y")</f>
        <v>0.95</v>
      </c>
      <c r="E34" s="33">
        <f>_xll.BDH("ALGEV FP Equity","BS_GOODWILL","FY 2012","FY 2012","Currency=EUR","Period=FY","BEST_FPERIOD_OVERRIDE=FY","FILING_STATUS=MR","SCALING_FORMAT=MLN","Sort=A","Dates=H","DateFormat=P","Fill=—","Direction=H","UseDPDF=Y")</f>
        <v>0.97299999999999998</v>
      </c>
      <c r="F34" s="33">
        <f>_xll.BDH("ALGEV FP Equity","BS_GOODWILL","FY 2013","FY 2013","Currency=EUR","Period=FY","BEST_FPERIOD_OVERRIDE=FY","FILING_STATUS=MR","SCALING_FORMAT=MLN","Sort=A","Dates=H","DateFormat=P","Fill=—","Direction=H","UseDPDF=Y")</f>
        <v>0.95199999999999996</v>
      </c>
      <c r="G34" s="33">
        <f>_xll.BDH("ALGEV FP Equity","BS_GOODWILL","FY 2014","FY 2014","Currency=EUR","Period=FY","BEST_FPERIOD_OVERRIDE=FY","FILING_STATUS=MR","SCALING_FORMAT=MLN","Sort=A","Dates=H","DateFormat=P","Fill=—","Direction=H","UseDPDF=Y")</f>
        <v>5.1890000000000001</v>
      </c>
      <c r="H34" s="33">
        <f>_xll.BDH("ALGEV FP Equity","BS_GOODWILL","FY 2015","FY 2015","Currency=EUR","Period=FY","BEST_FPERIOD_OVERRIDE=FY","FILING_STATUS=MR","SCALING_FORMAT=MLN","Sort=A","Dates=H","DateFormat=P","Fill=—","Direction=H","UseDPDF=Y")</f>
        <v>1.0820000000000001</v>
      </c>
      <c r="I34" s="33">
        <f>_xll.BDH("ALGEV FP Equity","BS_GOODWILL","FY 2016","FY 2016","Currency=EUR","Period=FY","BEST_FPERIOD_OVERRIDE=FY","FILING_STATUS=MR","SCALING_FORMAT=MLN","Sort=A","Dates=H","DateFormat=P","Fill=—","Direction=H","UseDPDF=Y")</f>
        <v>1.827</v>
      </c>
      <c r="J34" s="33">
        <f>_xll.BDH("ALGEV FP Equity","BS_GOODWILL","FY 2017","FY 2017","Currency=EUR","Period=FY","BEST_FPERIOD_OVERRIDE=FY","FILING_STATUS=MR","SCALING_FORMAT=MLN","Sort=A","Dates=H","DateFormat=P","Fill=—","Direction=H","UseDPDF=Y")</f>
        <v>1.7949999999999999</v>
      </c>
      <c r="K34" s="33">
        <f>_xll.BDH("ALGEV FP Equity","BS_GOODWILL","FY 2018","FY 2018","Currency=EUR","Period=FY","BEST_FPERIOD_OVERRIDE=FY","FILING_STATUS=MR","SCALING_FORMAT=MLN","Sort=A","Dates=H","DateFormat=P","Fill=—","Direction=H","UseDPDF=Y")</f>
        <v>1.788</v>
      </c>
      <c r="L34" s="33">
        <f>_xll.BDH("ALGEV FP Equity","BS_GOODWILL","FY 2019","FY 2019","Currency=EUR","Period=FY","BEST_FPERIOD_OVERRIDE=FY","FILING_STATUS=MR","SCALING_FORMAT=MLN","Sort=A","Dates=H","DateFormat=P","Fill=—","Direction=H","UseDPDF=Y")</f>
        <v>10.061999999999999</v>
      </c>
    </row>
    <row r="35" spans="1:12" ht="14.45" x14ac:dyDescent="0.35">
      <c r="A35" s="27" t="s">
        <v>80</v>
      </c>
      <c r="B35" s="27" t="s">
        <v>81</v>
      </c>
      <c r="C35" s="33">
        <f>_xll.BDH("ALGEV FP Equity","OTHER_INTANGIBLE_ASSETS_DETAILED","FY 2010","FY 2010","Currency=EUR","Period=FY","BEST_FPERIOD_OVERRIDE=FY","FILING_STATUS=MR","SCALING_FORMAT=MLN","Sort=A","Dates=H","DateFormat=P","Fill=—","Direction=H","UseDPDF=Y")</f>
        <v>4.7379999999999995</v>
      </c>
      <c r="D35" s="33">
        <f>_xll.BDH("ALGEV FP Equity","OTHER_INTANGIBLE_ASSETS_DETAILED","FY 2011","FY 2011","Currency=EUR","Period=FY","BEST_FPERIOD_OVERRIDE=FY","FILING_STATUS=MR","SCALING_FORMAT=MLN","Sort=A","Dates=H","DateFormat=P","Fill=—","Direction=H","UseDPDF=Y")</f>
        <v>5.3440000000000003</v>
      </c>
      <c r="E35" s="33">
        <f>_xll.BDH("ALGEV FP Equity","OTHER_INTANGIBLE_ASSETS_DETAILED","FY 2012","FY 2012","Currency=EUR","Period=FY","BEST_FPERIOD_OVERRIDE=FY","FILING_STATUS=MR","SCALING_FORMAT=MLN","Sort=A","Dates=H","DateFormat=P","Fill=—","Direction=H","UseDPDF=Y")</f>
        <v>10.433999999999999</v>
      </c>
      <c r="F35" s="33">
        <f>_xll.BDH("ALGEV FP Equity","OTHER_INTANGIBLE_ASSETS_DETAILED","FY 2013","FY 2013","Currency=EUR","Period=FY","BEST_FPERIOD_OVERRIDE=FY","FILING_STATUS=MR","SCALING_FORMAT=MLN","Sort=A","Dates=H","DateFormat=P","Fill=—","Direction=H","UseDPDF=Y")</f>
        <v>4.8479999999999999</v>
      </c>
      <c r="G35" s="33">
        <f>_xll.BDH("ALGEV FP Equity","OTHER_INTANGIBLE_ASSETS_DETAILED","FY 2014","FY 2014","Currency=EUR","Period=FY","BEST_FPERIOD_OVERRIDE=FY","FILING_STATUS=MR","SCALING_FORMAT=MLN","Sort=A","Dates=H","DateFormat=P","Fill=—","Direction=H","UseDPDF=Y")</f>
        <v>4.6420000000000003</v>
      </c>
      <c r="H35" s="33">
        <f>_xll.BDH("ALGEV FP Equity","OTHER_INTANGIBLE_ASSETS_DETAILED","FY 2015","FY 2015","Currency=EUR","Period=FY","BEST_FPERIOD_OVERRIDE=FY","FILING_STATUS=MR","SCALING_FORMAT=MLN","Sort=A","Dates=H","DateFormat=P","Fill=—","Direction=H","UseDPDF=Y")</f>
        <v>4.3529999999999998</v>
      </c>
      <c r="I35" s="33">
        <f>_xll.BDH("ALGEV FP Equity","OTHER_INTANGIBLE_ASSETS_DETAILED","FY 2016","FY 2016","Currency=EUR","Period=FY","BEST_FPERIOD_OVERRIDE=FY","FILING_STATUS=MR","SCALING_FORMAT=MLN","Sort=A","Dates=H","DateFormat=P","Fill=—","Direction=H","UseDPDF=Y")</f>
        <v>4.51</v>
      </c>
      <c r="J35" s="33">
        <f>_xll.BDH("ALGEV FP Equity","OTHER_INTANGIBLE_ASSETS_DETAILED","FY 2017","FY 2017","Currency=EUR","Period=FY","BEST_FPERIOD_OVERRIDE=FY","FILING_STATUS=MR","SCALING_FORMAT=MLN","Sort=A","Dates=H","DateFormat=P","Fill=—","Direction=H","UseDPDF=Y")</f>
        <v>1.2610000000000001</v>
      </c>
      <c r="K35" s="33">
        <f>_xll.BDH("ALGEV FP Equity","OTHER_INTANGIBLE_ASSETS_DETAILED","FY 2018","FY 2018","Currency=EUR","Period=FY","BEST_FPERIOD_OVERRIDE=FY","FILING_STATUS=MR","SCALING_FORMAT=MLN","Sort=A","Dates=H","DateFormat=P","Fill=—","Direction=H","UseDPDF=Y")</f>
        <v>1.0980000000000001</v>
      </c>
      <c r="L35" s="33">
        <f>_xll.BDH("ALGEV FP Equity","OTHER_INTANGIBLE_ASSETS_DETAILED","FY 2019","FY 2019","Currency=EUR","Period=FY","BEST_FPERIOD_OVERRIDE=FY","FILING_STATUS=MR","SCALING_FORMAT=MLN","Sort=A","Dates=H","DateFormat=P","Fill=—","Direction=H","UseDPDF=Y")</f>
        <v>1.502</v>
      </c>
    </row>
    <row r="36" spans="1:12" x14ac:dyDescent="0.25">
      <c r="A36" s="26" t="s">
        <v>54</v>
      </c>
      <c r="B36" s="26" t="s">
        <v>82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f>_xll.BDH("ALGEV FP Equity","BS_DEFERRED_TAX_ASSETS_LT","FY 2016","FY 2016","Currency=EUR","Period=FY","BEST_FPERIOD_OVERRIDE=FY","FILING_STATUS=MR","SCALING_FORMAT=MLN","Sort=A","Dates=H","DateFormat=P","Fill=—","Direction=H","UseDPDF=Y")</f>
        <v>2.004</v>
      </c>
      <c r="J36" s="29">
        <f>_xll.BDH("ALGEV FP Equity","BS_DEFERRED_TAX_ASSETS_LT","FY 2017","FY 2017","Currency=EUR","Period=FY","BEST_FPERIOD_OVERRIDE=FY","FILING_STATUS=MR","SCALING_FORMAT=MLN","Sort=A","Dates=H","DateFormat=P","Fill=—","Direction=H","UseDPDF=Y")</f>
        <v>0.18099999999999999</v>
      </c>
      <c r="K36" s="29">
        <f>_xll.BDH("ALGEV FP Equity","BS_DEFERRED_TAX_ASSETS_LT","FY 2018","FY 2018","Currency=EUR","Period=FY","BEST_FPERIOD_OVERRIDE=FY","FILING_STATUS=MR","SCALING_FORMAT=MLN","Sort=A","Dates=H","DateFormat=P","Fill=—","Direction=H","UseDPDF=Y")</f>
        <v>0.14899999999999999</v>
      </c>
      <c r="L36" s="29">
        <f>_xll.BDH("ALGEV FP Equity","BS_DEFERRED_TAX_ASSETS_LT","FY 2019","FY 2019","Currency=EUR","Period=FY","BEST_FPERIOD_OVERRIDE=FY","FILING_STATUS=MR","SCALING_FORMAT=MLN","Sort=A","Dates=H","DateFormat=P","Fill=—","Direction=H","UseDPDF=Y")</f>
        <v>0.28699999999999998</v>
      </c>
    </row>
    <row r="37" spans="1:12" x14ac:dyDescent="0.25">
      <c r="A37" s="26" t="s">
        <v>50</v>
      </c>
      <c r="B37" s="26" t="s">
        <v>83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f>_xll.BDH("ALGEV FP Equity","BS_DERIV_&amp;_HEDGING_ASSETS_LT","FY 2016","FY 2016","Currency=EUR","Period=FY","BEST_FPERIOD_OVERRIDE=FY","FILING_STATUS=MR","SCALING_FORMAT=MLN","Sort=A","Dates=H","DateFormat=P","Fill=—","Direction=H","UseDPDF=Y")</f>
        <v>0</v>
      </c>
      <c r="J37" s="29">
        <f>_xll.BDH("ALGEV FP Equity","BS_DERIV_&amp;_HEDGING_ASSETS_LT","FY 2017","FY 2017","Currency=EUR","Period=FY","BEST_FPERIOD_OVERRIDE=FY","FILING_STATUS=MR","SCALING_FORMAT=MLN","Sort=A","Dates=H","DateFormat=P","Fill=—","Direction=H","UseDPDF=Y")</f>
        <v>0</v>
      </c>
      <c r="K37" s="29">
        <f>_xll.BDH("ALGEV FP Equity","BS_DERIV_&amp;_HEDGING_ASSETS_LT","FY 2018","FY 2018","Currency=EUR","Period=FY","BEST_FPERIOD_OVERRIDE=FY","FILING_STATUS=MR","SCALING_FORMAT=MLN","Sort=A","Dates=H","DateFormat=P","Fill=—","Direction=H","UseDPDF=Y")</f>
        <v>0</v>
      </c>
      <c r="L37" s="29">
        <f>_xll.BDH("ALGEV FP Equity","BS_DERIV_&amp;_HEDGING_ASSETS_LT","FY 2019","FY 2019","Currency=EUR","Period=FY","BEST_FPERIOD_OVERRIDE=FY","FILING_STATUS=MR","SCALING_FORMAT=MLN","Sort=A","Dates=H","DateFormat=P","Fill=—","Direction=H","UseDPDF=Y")</f>
        <v>0</v>
      </c>
    </row>
    <row r="38" spans="1:12" x14ac:dyDescent="0.25">
      <c r="A38" s="26" t="s">
        <v>84</v>
      </c>
      <c r="B38" s="26" t="s">
        <v>85</v>
      </c>
      <c r="C38" s="29">
        <f>_xll.BDH("ALGEV FP Equity","BS_INVEST_IN_ASSOC_CO","FY 2010","FY 2010","Currency=EUR","Period=FY","BEST_FPERIOD_OVERRIDE=FY","FILING_STATUS=MR","SCALING_FORMAT=MLN","Sort=A","Dates=H","DateFormat=P","Fill=—","Direction=H","UseDPDF=Y")</f>
        <v>9.5299999999999994</v>
      </c>
      <c r="D38" s="29">
        <f>_xll.BDH("ALGEV FP Equity","BS_INVEST_IN_ASSOC_CO","FY 2011","FY 2011","Currency=EUR","Period=FY","BEST_FPERIOD_OVERRIDE=FY","FILING_STATUS=MR","SCALING_FORMAT=MLN","Sort=A","Dates=H","DateFormat=P","Fill=—","Direction=H","UseDPDF=Y")</f>
        <v>9.5790000000000006</v>
      </c>
      <c r="E38" s="29">
        <f>_xll.BDH("ALGEV FP Equity","BS_INVEST_IN_ASSOC_CO","FY 2012","FY 2012","Currency=EUR","Period=FY","BEST_FPERIOD_OVERRIDE=FY","FILING_STATUS=MR","SCALING_FORMAT=MLN","Sort=A","Dates=H","DateFormat=P","Fill=—","Direction=H","UseDPDF=Y")</f>
        <v>10.01</v>
      </c>
      <c r="F38" s="29">
        <v>0</v>
      </c>
      <c r="G38" s="29">
        <v>0</v>
      </c>
      <c r="H38" s="29">
        <v>0</v>
      </c>
      <c r="I38" s="29">
        <f>_xll.BDH("ALGEV FP Equity","BS_INVEST_IN_ASSOC_CO","FY 2016","FY 2016","Currency=EUR","Period=FY","BEST_FPERIOD_OVERRIDE=FY","FILING_STATUS=MR","SCALING_FORMAT=MLN","Sort=A","Dates=H","DateFormat=P","Fill=—","Direction=H","UseDPDF=Y")</f>
        <v>0.11799999999999999</v>
      </c>
      <c r="J38" s="29">
        <f>_xll.BDH("ALGEV FP Equity","BS_INVEST_IN_ASSOC_CO","FY 2017","FY 2017","Currency=EUR","Period=FY","BEST_FPERIOD_OVERRIDE=FY","FILING_STATUS=MR","SCALING_FORMAT=MLN","Sort=A","Dates=H","DateFormat=P","Fill=—","Direction=H","UseDPDF=Y")</f>
        <v>7.5999999999999998E-2</v>
      </c>
      <c r="K38" s="29">
        <f>_xll.BDH("ALGEV FP Equity","BS_INVEST_IN_ASSOC_CO","FY 2018","FY 2018","Currency=EUR","Period=FY","BEST_FPERIOD_OVERRIDE=FY","FILING_STATUS=MR","SCALING_FORMAT=MLN","Sort=A","Dates=H","DateFormat=P","Fill=—","Direction=H","UseDPDF=Y")</f>
        <v>3.6999999999999998E-2</v>
      </c>
      <c r="L38" s="29">
        <f>_xll.BDH("ALGEV FP Equity","BS_INVEST_IN_ASSOC_CO","FY 2019","FY 2019","Currency=EUR","Period=FY","BEST_FPERIOD_OVERRIDE=FY","FILING_STATUS=MR","SCALING_FORMAT=MLN","Sort=A","Dates=H","DateFormat=P","Fill=—","Direction=H","UseDPDF=Y")</f>
        <v>7.6999999999999999E-2</v>
      </c>
    </row>
    <row r="39" spans="1:12" ht="14.45" x14ac:dyDescent="0.35">
      <c r="A39" s="26" t="s">
        <v>86</v>
      </c>
      <c r="B39" s="26" t="s">
        <v>87</v>
      </c>
      <c r="C39" s="29">
        <f>_xll.BDH("ALGEV FP Equity","OTHER_NONCURRENT_ASSETS_DETAILED","FY 2010","FY 2010","Currency=EUR","Period=FY","BEST_FPERIOD_OVERRIDE=FY","FILING_STATUS=MR","SCALING_FORMAT=MLN","Sort=A","Dates=H","DateFormat=P","Fill=—","Direction=H","UseDPDF=Y")</f>
        <v>0</v>
      </c>
      <c r="D39" s="29">
        <f>_xll.BDH("ALGEV FP Equity","OTHER_NONCURRENT_ASSETS_DETAILED","FY 2011","FY 2011","Currency=EUR","Period=FY","BEST_FPERIOD_OVERRIDE=FY","FILING_STATUS=MR","SCALING_FORMAT=MLN","Sort=A","Dates=H","DateFormat=P","Fill=—","Direction=H","UseDPDF=Y")</f>
        <v>4.3</v>
      </c>
      <c r="E39" s="29">
        <f>_xll.BDH("ALGEV FP Equity","OTHER_NONCURRENT_ASSETS_DETAILED","FY 2012","FY 2012","Currency=EUR","Period=FY","BEST_FPERIOD_OVERRIDE=FY","FILING_STATUS=MR","SCALING_FORMAT=MLN","Sort=A","Dates=H","DateFormat=P","Fill=—","Direction=H","UseDPDF=Y")</f>
        <v>-5.2169999999999996</v>
      </c>
      <c r="F39" s="29">
        <f>_xll.BDH("ALGEV FP Equity","OTHER_NONCURRENT_ASSETS_DETAILED","FY 2013","FY 2013","Currency=EUR","Period=FY","BEST_FPERIOD_OVERRIDE=FY","FILING_STATUS=MR","SCALING_FORMAT=MLN","Sort=A","Dates=H","DateFormat=P","Fill=—","Direction=H","UseDPDF=Y")</f>
        <v>0</v>
      </c>
      <c r="G39" s="29">
        <f>_xll.BDH("ALGEV FP Equity","OTHER_NONCURRENT_ASSETS_DETAILED","FY 2014","FY 2014","Currency=EUR","Period=FY","BEST_FPERIOD_OVERRIDE=FY","FILING_STATUS=MR","SCALING_FORMAT=MLN","Sort=A","Dates=H","DateFormat=P","Fill=—","Direction=H","UseDPDF=Y")</f>
        <v>0</v>
      </c>
      <c r="H39" s="29">
        <v>0</v>
      </c>
      <c r="I39" s="29">
        <f>_xll.BDH("ALGEV FP Equity","OTHER_NONCURRENT_ASSETS_DETAILED","FY 2016","FY 2016","Currency=EUR","Period=FY","BEST_FPERIOD_OVERRIDE=FY","FILING_STATUS=MR","SCALING_FORMAT=MLN","Sort=A","Dates=H","DateFormat=P","Fill=—","Direction=H","UseDPDF=Y")</f>
        <v>0</v>
      </c>
      <c r="J39" s="29">
        <f>_xll.BDH("ALGEV FP Equity","OTHER_NONCURRENT_ASSETS_DETAILED","FY 2017","FY 2017","Currency=EUR","Period=FY","BEST_FPERIOD_OVERRIDE=FY","FILING_STATUS=MR","SCALING_FORMAT=MLN","Sort=A","Dates=H","DateFormat=P","Fill=—","Direction=H","UseDPDF=Y")</f>
        <v>0</v>
      </c>
      <c r="K39" s="29">
        <f>_xll.BDH("ALGEV FP Equity","OTHER_NONCURRENT_ASSETS_DETAILED","FY 2018","FY 2018","Currency=EUR","Period=FY","BEST_FPERIOD_OVERRIDE=FY","FILING_STATUS=MR","SCALING_FORMAT=MLN","Sort=A","Dates=H","DateFormat=P","Fill=—","Direction=H","UseDPDF=Y")</f>
        <v>0</v>
      </c>
      <c r="L39" s="29">
        <f>_xll.BDH("ALGEV FP Equity","OTHER_NONCURRENT_ASSETS_DETAILED","FY 2019","FY 2019","Currency=EUR","Period=FY","BEST_FPERIOD_OVERRIDE=FY","FILING_STATUS=MR","SCALING_FORMAT=MLN","Sort=A","Dates=H","DateFormat=P","Fill=—","Direction=H","UseDPDF=Y")</f>
        <v>0</v>
      </c>
    </row>
    <row r="40" spans="1:12" x14ac:dyDescent="0.25">
      <c r="A40" s="22" t="s">
        <v>88</v>
      </c>
      <c r="B40" s="22" t="s">
        <v>89</v>
      </c>
      <c r="C40" s="32">
        <f>_xll.BDH("ALGEV FP Equity","BS_TOT_NON_CUR_ASSET","FY 2010","FY 2010","Currency=EUR","Period=FY","BEST_FPERIOD_OVERRIDE=FY","FILING_STATUS=MR","SCALING_FORMAT=MLN","Sort=A","Dates=H","DateFormat=P","Fill=—","Direction=H","UseDPDF=Y")</f>
        <v>104.285</v>
      </c>
      <c r="D40" s="32">
        <f>_xll.BDH("ALGEV FP Equity","BS_TOT_NON_CUR_ASSET","FY 2011","FY 2011","Currency=EUR","Period=FY","BEST_FPERIOD_OVERRIDE=FY","FILING_STATUS=MR","SCALING_FORMAT=MLN","Sort=A","Dates=H","DateFormat=P","Fill=—","Direction=H","UseDPDF=Y")</f>
        <v>106.32</v>
      </c>
      <c r="E40" s="32">
        <f>_xll.BDH("ALGEV FP Equity","BS_TOT_NON_CUR_ASSET","FY 2012","FY 2012","Currency=EUR","Period=FY","BEST_FPERIOD_OVERRIDE=FY","FILING_STATUS=MR","SCALING_FORMAT=MLN","Sort=A","Dates=H","DateFormat=P","Fill=—","Direction=H","UseDPDF=Y")</f>
        <v>83.671999999999997</v>
      </c>
      <c r="F40" s="32">
        <f>_xll.BDH("ALGEV FP Equity","BS_TOT_NON_CUR_ASSET","FY 2013","FY 2013","Currency=EUR","Period=FY","BEST_FPERIOD_OVERRIDE=FY","FILING_STATUS=MR","SCALING_FORMAT=MLN","Sort=A","Dates=H","DateFormat=P","Fill=—","Direction=H","UseDPDF=Y")</f>
        <v>71.613</v>
      </c>
      <c r="G40" s="32">
        <f>_xll.BDH("ALGEV FP Equity","BS_TOT_NON_CUR_ASSET","FY 2014","FY 2014","Currency=EUR","Period=FY","BEST_FPERIOD_OVERRIDE=FY","FILING_STATUS=MR","SCALING_FORMAT=MLN","Sort=A","Dates=H","DateFormat=P","Fill=—","Direction=H","UseDPDF=Y")</f>
        <v>87.072999999999993</v>
      </c>
      <c r="H40" s="32">
        <f>_xll.BDH("ALGEV FP Equity","BS_TOT_NON_CUR_ASSET","FY 2015","FY 2015","Currency=EUR","Period=FY","BEST_FPERIOD_OVERRIDE=FY","FILING_STATUS=MR","SCALING_FORMAT=MLN","Sort=A","Dates=H","DateFormat=P","Fill=—","Direction=H","UseDPDF=Y")</f>
        <v>86.177999999999997</v>
      </c>
      <c r="I40" s="32">
        <f>_xll.BDH("ALGEV FP Equity","BS_TOT_NON_CUR_ASSET","FY 2016","FY 2016","Currency=EUR","Period=FY","BEST_FPERIOD_OVERRIDE=FY","FILING_STATUS=MR","SCALING_FORMAT=MLN","Sort=A","Dates=H","DateFormat=P","Fill=—","Direction=H","UseDPDF=Y")</f>
        <v>82.878</v>
      </c>
      <c r="J40" s="32">
        <f>_xll.BDH("ALGEV FP Equity","BS_TOT_NON_CUR_ASSET","FY 2017","FY 2017","Currency=EUR","Period=FY","BEST_FPERIOD_OVERRIDE=FY","FILING_STATUS=MR","SCALING_FORMAT=MLN","Sort=A","Dates=H","DateFormat=P","Fill=—","Direction=H","UseDPDF=Y")</f>
        <v>36.755000000000003</v>
      </c>
      <c r="K40" s="32">
        <f>_xll.BDH("ALGEV FP Equity","BS_TOT_NON_CUR_ASSET","FY 2018","FY 2018","Currency=EUR","Period=FY","BEST_FPERIOD_OVERRIDE=FY","FILING_STATUS=MR","SCALING_FORMAT=MLN","Sort=A","Dates=H","DateFormat=P","Fill=—","Direction=H","UseDPDF=Y")</f>
        <v>36.103999999999999</v>
      </c>
      <c r="L40" s="32">
        <f>_xll.BDH("ALGEV FP Equity","BS_TOT_NON_CUR_ASSET","FY 2019","FY 2019","Currency=EUR","Period=FY","BEST_FPERIOD_OVERRIDE=FY","FILING_STATUS=MR","SCALING_FORMAT=MLN","Sort=A","Dates=H","DateFormat=P","Fill=—","Direction=H","UseDPDF=Y")</f>
        <v>52.863</v>
      </c>
    </row>
    <row r="41" spans="1:12" ht="14.45" x14ac:dyDescent="0.35">
      <c r="A41" s="22" t="s">
        <v>90</v>
      </c>
      <c r="B41" s="22" t="s">
        <v>91</v>
      </c>
      <c r="C41" s="32">
        <f>_xll.BDH("ALGEV FP Equity","BS_TOT_ASSET","FY 2010","FY 2010","Currency=EUR","Period=FY","BEST_FPERIOD_OVERRIDE=FY","FILING_STATUS=MR","SCALING_FORMAT=MLN","Sort=A","Dates=H","DateFormat=P","Fill=—","Direction=H","UseDPDF=Y")</f>
        <v>208.54499999999999</v>
      </c>
      <c r="D41" s="32">
        <f>_xll.BDH("ALGEV FP Equity","BS_TOT_ASSET","FY 2011","FY 2011","Currency=EUR","Period=FY","BEST_FPERIOD_OVERRIDE=FY","FILING_STATUS=MR","SCALING_FORMAT=MLN","Sort=A","Dates=H","DateFormat=P","Fill=—","Direction=H","UseDPDF=Y")</f>
        <v>224.59100000000001</v>
      </c>
      <c r="E41" s="32">
        <f>_xll.BDH("ALGEV FP Equity","BS_TOT_ASSET","FY 2012","FY 2012","Currency=EUR","Period=FY","BEST_FPERIOD_OVERRIDE=FY","FILING_STATUS=MR","SCALING_FORMAT=MLN","Sort=A","Dates=H","DateFormat=P","Fill=—","Direction=H","UseDPDF=Y")</f>
        <v>202.732</v>
      </c>
      <c r="F41" s="32">
        <f>_xll.BDH("ALGEV FP Equity","BS_TOT_ASSET","FY 2013","FY 2013","Currency=EUR","Period=FY","BEST_FPERIOD_OVERRIDE=FY","FILING_STATUS=MR","SCALING_FORMAT=MLN","Sort=A","Dates=H","DateFormat=P","Fill=—","Direction=H","UseDPDF=Y")</f>
        <v>223.20099999999999</v>
      </c>
      <c r="G41" s="32">
        <f>_xll.BDH("ALGEV FP Equity","BS_TOT_ASSET","FY 2014","FY 2014","Currency=EUR","Period=FY","BEST_FPERIOD_OVERRIDE=FY","FILING_STATUS=MR","SCALING_FORMAT=MLN","Sort=A","Dates=H","DateFormat=P","Fill=—","Direction=H","UseDPDF=Y")</f>
        <v>341.42099999999999</v>
      </c>
      <c r="H41" s="32">
        <f>_xll.BDH("ALGEV FP Equity","BS_TOT_ASSET","FY 2015","FY 2015","Currency=EUR","Period=FY","BEST_FPERIOD_OVERRIDE=FY","FILING_STATUS=MR","SCALING_FORMAT=MLN","Sort=A","Dates=H","DateFormat=P","Fill=—","Direction=H","UseDPDF=Y")</f>
        <v>324.70699999999999</v>
      </c>
      <c r="I41" s="32">
        <f>_xll.BDH("ALGEV FP Equity","BS_TOT_ASSET","FY 2016","FY 2016","Currency=EUR","Period=FY","BEST_FPERIOD_OVERRIDE=FY","FILING_STATUS=MR","SCALING_FORMAT=MLN","Sort=A","Dates=H","DateFormat=P","Fill=—","Direction=H","UseDPDF=Y")</f>
        <v>351.76600000000002</v>
      </c>
      <c r="J41" s="32">
        <f>_xll.BDH("ALGEV FP Equity","BS_TOT_ASSET","FY 2017","FY 2017","Currency=EUR","Period=FY","BEST_FPERIOD_OVERRIDE=FY","FILING_STATUS=MR","SCALING_FORMAT=MLN","Sort=A","Dates=H","DateFormat=P","Fill=—","Direction=H","UseDPDF=Y")</f>
        <v>290.971</v>
      </c>
      <c r="K41" s="32">
        <f>_xll.BDH("ALGEV FP Equity","BS_TOT_ASSET","FY 2018","FY 2018","Currency=EUR","Period=FY","BEST_FPERIOD_OVERRIDE=FY","FILING_STATUS=MR","SCALING_FORMAT=MLN","Sort=A","Dates=H","DateFormat=P","Fill=—","Direction=H","UseDPDF=Y")</f>
        <v>280.54599999999999</v>
      </c>
      <c r="L41" s="32">
        <f>_xll.BDH("ALGEV FP Equity","BS_TOT_ASSET","FY 2019","FY 2019","Currency=EUR","Period=FY","BEST_FPERIOD_OVERRIDE=FY","FILING_STATUS=MR","SCALING_FORMAT=MLN","Sort=A","Dates=H","DateFormat=P","Fill=—","Direction=H","UseDPDF=Y")</f>
        <v>296.36700000000002</v>
      </c>
    </row>
    <row r="42" spans="1:12" ht="14.45" x14ac:dyDescent="0.35">
      <c r="A42" s="22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</row>
    <row r="43" spans="1:12" ht="14.45" x14ac:dyDescent="0.35">
      <c r="A43" s="22" t="s">
        <v>92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</row>
    <row r="44" spans="1:12" x14ac:dyDescent="0.25">
      <c r="A44" s="26" t="s">
        <v>93</v>
      </c>
      <c r="B44" s="26" t="s">
        <v>94</v>
      </c>
      <c r="C44" s="29">
        <f>_xll.BDH("ALGEV FP Equity","ACCT_PAYABLE_&amp;_ACCRUALS_DETAILED","FY 2010","FY 2010","Currency=EUR","Period=FY","BEST_FPERIOD_OVERRIDE=FY","FILING_STATUS=MR","SCALING_FORMAT=MLN","Sort=A","Dates=H","DateFormat=P","Fill=—","Direction=H","UseDPDF=Y")</f>
        <v>21.486999999999998</v>
      </c>
      <c r="D44" s="29">
        <f>_xll.BDH("ALGEV FP Equity","ACCT_PAYABLE_&amp;_ACCRUALS_DETAILED","FY 2011","FY 2011","Currency=EUR","Period=FY","BEST_FPERIOD_OVERRIDE=FY","FILING_STATUS=MR","SCALING_FORMAT=MLN","Sort=A","Dates=H","DateFormat=P","Fill=—","Direction=H","UseDPDF=Y")</f>
        <v>24.073</v>
      </c>
      <c r="E44" s="29">
        <f>_xll.BDH("ALGEV FP Equity","ACCT_PAYABLE_&amp;_ACCRUALS_DETAILED","FY 2012","FY 2012","Currency=EUR","Period=FY","BEST_FPERIOD_OVERRIDE=FY","FILING_STATUS=MR","SCALING_FORMAT=MLN","Sort=A","Dates=H","DateFormat=P","Fill=—","Direction=H","UseDPDF=Y")</f>
        <v>22.701999999999998</v>
      </c>
      <c r="F44" s="29">
        <f>_xll.BDH("ALGEV FP Equity","ACCT_PAYABLE_&amp;_ACCRUALS_DETAILED","FY 2013","FY 2013","Currency=EUR","Period=FY","BEST_FPERIOD_OVERRIDE=FY","FILING_STATUS=MR","SCALING_FORMAT=MLN","Sort=A","Dates=H","DateFormat=P","Fill=—","Direction=H","UseDPDF=Y")</f>
        <v>27.628</v>
      </c>
      <c r="G44" s="29">
        <f>_xll.BDH("ALGEV FP Equity","ACCT_PAYABLE_&amp;_ACCRUALS_DETAILED","FY 2014","FY 2014","Currency=EUR","Period=FY","BEST_FPERIOD_OVERRIDE=FY","FILING_STATUS=MR","SCALING_FORMAT=MLN","Sort=A","Dates=H","DateFormat=P","Fill=—","Direction=H","UseDPDF=Y")</f>
        <v>28.751000000000001</v>
      </c>
      <c r="H44" s="29">
        <f>_xll.BDH("ALGEV FP Equity","ACCT_PAYABLE_&amp;_ACCRUALS_DETAILED","FY 2015","FY 2015","Currency=EUR","Period=FY","BEST_FPERIOD_OVERRIDE=FY","FILING_STATUS=MR","SCALING_FORMAT=MLN","Sort=A","Dates=H","DateFormat=P","Fill=—","Direction=H","UseDPDF=Y")</f>
        <v>24.620999999999999</v>
      </c>
      <c r="I44" s="29">
        <f>_xll.BDH("ALGEV FP Equity","ACCT_PAYABLE_&amp;_ACCRUALS_DETAILED","FY 2016","FY 2016","Currency=EUR","Period=FY","BEST_FPERIOD_OVERRIDE=FY","FILING_STATUS=MR","SCALING_FORMAT=MLN","Sort=A","Dates=H","DateFormat=P","Fill=—","Direction=H","UseDPDF=Y")</f>
        <v>23.521000000000001</v>
      </c>
      <c r="J44" s="29">
        <f>_xll.BDH("ALGEV FP Equity","ACCT_PAYABLE_&amp;_ACCRUALS_DETAILED","FY 2017","FY 2017","Currency=EUR","Period=FY","BEST_FPERIOD_OVERRIDE=FY","FILING_STATUS=MR","SCALING_FORMAT=MLN","Sort=A","Dates=H","DateFormat=P","Fill=—","Direction=H","UseDPDF=Y")</f>
        <v>11.436</v>
      </c>
      <c r="K44" s="29">
        <f>_xll.BDH("ALGEV FP Equity","ACCT_PAYABLE_&amp;_ACCRUALS_DETAILED","FY 2018","FY 2018","Currency=EUR","Period=FY","BEST_FPERIOD_OVERRIDE=FY","FILING_STATUS=MR","SCALING_FORMAT=MLN","Sort=A","Dates=H","DateFormat=P","Fill=—","Direction=H","UseDPDF=Y")</f>
        <v>20.454000000000001</v>
      </c>
      <c r="L44" s="29">
        <f>_xll.BDH("ALGEV FP Equity","ACCT_PAYABLE_&amp;_ACCRUALS_DETAILED","FY 2019","FY 2019","Currency=EUR","Period=FY","BEST_FPERIOD_OVERRIDE=FY","FILING_STATUS=MR","SCALING_FORMAT=MLN","Sort=A","Dates=H","DateFormat=P","Fill=—","Direction=H","UseDPDF=Y")</f>
        <v>20.206</v>
      </c>
    </row>
    <row r="45" spans="1:12" ht="14.45" x14ac:dyDescent="0.35">
      <c r="A45" s="26" t="s">
        <v>95</v>
      </c>
      <c r="B45" s="26" t="s">
        <v>96</v>
      </c>
      <c r="C45" s="29">
        <f>_xll.BDH("ALGEV FP Equity","BS_ACCT_PAYABLE","FY 2010","FY 2010","Currency=EUR","Period=FY","BEST_FPERIOD_OVERRIDE=FY","FILING_STATUS=MR","SCALING_FORMAT=MLN","Sort=A","Dates=H","DateFormat=P","Fill=—","Direction=H","UseDPDF=Y")</f>
        <v>21.486999999999998</v>
      </c>
      <c r="D45" s="29">
        <f>_xll.BDH("ALGEV FP Equity","BS_ACCT_PAYABLE","FY 2011","FY 2011","Currency=EUR","Period=FY","BEST_FPERIOD_OVERRIDE=FY","FILING_STATUS=MR","SCALING_FORMAT=MLN","Sort=A","Dates=H","DateFormat=P","Fill=—","Direction=H","UseDPDF=Y")</f>
        <v>24.073</v>
      </c>
      <c r="E45" s="29">
        <f>_xll.BDH("ALGEV FP Equity","BS_ACCT_PAYABLE","FY 2012","FY 2012","Currency=EUR","Period=FY","BEST_FPERIOD_OVERRIDE=FY","FILING_STATUS=MR","SCALING_FORMAT=MLN","Sort=A","Dates=H","DateFormat=P","Fill=—","Direction=H","UseDPDF=Y")</f>
        <v>22.701999999999998</v>
      </c>
      <c r="F45" s="29">
        <f>_xll.BDH("ALGEV FP Equity","BS_ACCT_PAYABLE","FY 2013","FY 2013","Currency=EUR","Period=FY","BEST_FPERIOD_OVERRIDE=FY","FILING_STATUS=MR","SCALING_FORMAT=MLN","Sort=A","Dates=H","DateFormat=P","Fill=—","Direction=H","UseDPDF=Y")</f>
        <v>27.628</v>
      </c>
      <c r="G45" s="29">
        <f>_xll.BDH("ALGEV FP Equity","BS_ACCT_PAYABLE","FY 2014","FY 2014","Currency=EUR","Period=FY","BEST_FPERIOD_OVERRIDE=FY","FILING_STATUS=MR","SCALING_FORMAT=MLN","Sort=A","Dates=H","DateFormat=P","Fill=—","Direction=H","UseDPDF=Y")</f>
        <v>28.751000000000001</v>
      </c>
      <c r="H45" s="29">
        <f>_xll.BDH("ALGEV FP Equity","BS_ACCT_PAYABLE","FY 2015","FY 2015","Currency=EUR","Period=FY","BEST_FPERIOD_OVERRIDE=FY","FILING_STATUS=MR","SCALING_FORMAT=MLN","Sort=A","Dates=H","DateFormat=P","Fill=—","Direction=H","UseDPDF=Y")</f>
        <v>24.620999999999999</v>
      </c>
      <c r="I45" s="29">
        <f>_xll.BDH("ALGEV FP Equity","BS_ACCT_PAYABLE","FY 2016","FY 2016","Currency=EUR","Period=FY","BEST_FPERIOD_OVERRIDE=FY","FILING_STATUS=MR","SCALING_FORMAT=MLN","Sort=A","Dates=H","DateFormat=P","Fill=—","Direction=H","UseDPDF=Y")</f>
        <v>22.545000000000002</v>
      </c>
      <c r="J45" s="29">
        <f>_xll.BDH("ALGEV FP Equity","BS_ACCT_PAYABLE","FY 2017","FY 2017","Currency=EUR","Period=FY","BEST_FPERIOD_OVERRIDE=FY","FILING_STATUS=MR","SCALING_FORMAT=MLN","Sort=A","Dates=H","DateFormat=P","Fill=—","Direction=H","UseDPDF=Y")</f>
        <v>11.189</v>
      </c>
      <c r="K45" s="29">
        <f>_xll.BDH("ALGEV FP Equity","BS_ACCT_PAYABLE","FY 2018","FY 2018","Currency=EUR","Period=FY","BEST_FPERIOD_OVERRIDE=FY","FILING_STATUS=MR","SCALING_FORMAT=MLN","Sort=A","Dates=H","DateFormat=P","Fill=—","Direction=H","UseDPDF=Y")</f>
        <v>12.621</v>
      </c>
      <c r="L45" s="29">
        <f>_xll.BDH("ALGEV FP Equity","BS_ACCT_PAYABLE","FY 2019","FY 2019","Currency=EUR","Period=FY","BEST_FPERIOD_OVERRIDE=FY","FILING_STATUS=MR","SCALING_FORMAT=MLN","Sort=A","Dates=H","DateFormat=P","Fill=—","Direction=H","UseDPDF=Y")</f>
        <v>12.093999999999999</v>
      </c>
    </row>
    <row r="46" spans="1:12" x14ac:dyDescent="0.25">
      <c r="A46" s="26" t="s">
        <v>97</v>
      </c>
      <c r="B46" s="26" t="s">
        <v>98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f>_xll.BDH("ALGEV FP Equity","BS_TAXES_PAYABLE","FY 2016","FY 2016","Currency=EUR","Period=FY","BEST_FPERIOD_OVERRIDE=FY","FILING_STATUS=MR","SCALING_FORMAT=MLN","Sort=A","Dates=H","DateFormat=P","Fill=—","Direction=H","UseDPDF=Y")</f>
        <v>0.97599999999999998</v>
      </c>
      <c r="J46" s="29">
        <f>_xll.BDH("ALGEV FP Equity","BS_TAXES_PAYABLE","FY 2017","FY 2017","Currency=EUR","Period=FY","BEST_FPERIOD_OVERRIDE=FY","FILING_STATUS=MR","SCALING_FORMAT=MLN","Sort=A","Dates=H","DateFormat=P","Fill=—","Direction=H","UseDPDF=Y")</f>
        <v>0.247</v>
      </c>
      <c r="K46" s="29">
        <f>_xll.BDH("ALGEV FP Equity","BS_TAXES_PAYABLE","FY 2018","FY 2018","Currency=EUR","Period=FY","BEST_FPERIOD_OVERRIDE=FY","FILING_STATUS=MR","SCALING_FORMAT=MLN","Sort=A","Dates=H","DateFormat=P","Fill=—","Direction=H","UseDPDF=Y")</f>
        <v>7.8330000000000002</v>
      </c>
      <c r="L46" s="29">
        <f>_xll.BDH("ALGEV FP Equity","BS_TAXES_PAYABLE","FY 2019","FY 2019","Currency=EUR","Period=FY","BEST_FPERIOD_OVERRIDE=FY","FILING_STATUS=MR","SCALING_FORMAT=MLN","Sort=A","Dates=H","DateFormat=P","Fill=—","Direction=H","UseDPDF=Y")</f>
        <v>8.1120000000000001</v>
      </c>
    </row>
    <row r="47" spans="1:12" x14ac:dyDescent="0.25">
      <c r="A47" s="26" t="s">
        <v>99</v>
      </c>
      <c r="B47" s="26" t="s">
        <v>100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f>_xll.BDH("ALGEV FP Equity","BS_ACCRUAL","FY 2016","FY 2016","Currency=EUR","Period=FY","BEST_FPERIOD_OVERRIDE=FY","FILING_STATUS=MR","SCALING_FORMAT=MLN","Sort=A","Dates=H","DateFormat=P","Fill=—","Direction=H","UseDPDF=Y")</f>
        <v>0</v>
      </c>
      <c r="J47" s="29">
        <f>_xll.BDH("ALGEV FP Equity","BS_ACCRUAL","FY 2017","FY 2017","Currency=EUR","Period=FY","BEST_FPERIOD_OVERRIDE=FY","FILING_STATUS=MR","SCALING_FORMAT=MLN","Sort=A","Dates=H","DateFormat=P","Fill=—","Direction=H","UseDPDF=Y")</f>
        <v>0</v>
      </c>
      <c r="K47" s="29">
        <f>_xll.BDH("ALGEV FP Equity","BS_ACCRUAL","FY 2018","FY 2018","Currency=EUR","Period=FY","BEST_FPERIOD_OVERRIDE=FY","FILING_STATUS=MR","SCALING_FORMAT=MLN","Sort=A","Dates=H","DateFormat=P","Fill=—","Direction=H","UseDPDF=Y")</f>
        <v>0</v>
      </c>
      <c r="L47" s="29">
        <f>_xll.BDH("ALGEV FP Equity","BS_ACCRUAL","FY 2019","FY 2019","Currency=EUR","Period=FY","BEST_FPERIOD_OVERRIDE=FY","FILING_STATUS=MR","SCALING_FORMAT=MLN","Sort=A","Dates=H","DateFormat=P","Fill=—","Direction=H","UseDPDF=Y")</f>
        <v>0</v>
      </c>
    </row>
    <row r="48" spans="1:12" x14ac:dyDescent="0.25">
      <c r="A48" s="26" t="s">
        <v>101</v>
      </c>
      <c r="B48" s="26" t="s">
        <v>102</v>
      </c>
      <c r="C48" s="29">
        <f>_xll.BDH("ALGEV FP Equity","BS_ST_BORROW","FY 2010","FY 2010","Currency=EUR","Period=FY","BEST_FPERIOD_OVERRIDE=FY","FILING_STATUS=MR","SCALING_FORMAT=MLN","Sort=A","Dates=H","DateFormat=P","Fill=—","Direction=H","UseDPDF=Y")</f>
        <v>9.4480000000000004</v>
      </c>
      <c r="D48" s="29">
        <f>_xll.BDH("ALGEV FP Equity","BS_ST_BORROW","FY 2011","FY 2011","Currency=EUR","Period=FY","BEST_FPERIOD_OVERRIDE=FY","FILING_STATUS=MR","SCALING_FORMAT=MLN","Sort=A","Dates=H","DateFormat=P","Fill=—","Direction=H","UseDPDF=Y")</f>
        <v>14.379</v>
      </c>
      <c r="E48" s="29">
        <f>_xll.BDH("ALGEV FP Equity","BS_ST_BORROW","FY 2012","FY 2012","Currency=EUR","Period=FY","BEST_FPERIOD_OVERRIDE=FY","FILING_STATUS=MR","SCALING_FORMAT=MLN","Sort=A","Dates=H","DateFormat=P","Fill=—","Direction=H","UseDPDF=Y")</f>
        <v>10.885</v>
      </c>
      <c r="F48" s="29">
        <f>_xll.BDH("ALGEV FP Equity","BS_ST_BORROW","FY 2013","FY 2013","Currency=EUR","Period=FY","BEST_FPERIOD_OVERRIDE=FY","FILING_STATUS=MR","SCALING_FORMAT=MLN","Sort=A","Dates=H","DateFormat=P","Fill=—","Direction=H","UseDPDF=Y")</f>
        <v>17.45</v>
      </c>
      <c r="G48" s="29">
        <f>_xll.BDH("ALGEV FP Equity","BS_ST_BORROW","FY 2014","FY 2014","Currency=EUR","Period=FY","BEST_FPERIOD_OVERRIDE=FY","FILING_STATUS=MR","SCALING_FORMAT=MLN","Sort=A","Dates=H","DateFormat=P","Fill=—","Direction=H","UseDPDF=Y")</f>
        <v>28.614999999999998</v>
      </c>
      <c r="H48" s="29">
        <f>_xll.BDH("ALGEV FP Equity","BS_ST_BORROW","FY 2015","FY 2015","Currency=EUR","Period=FY","BEST_FPERIOD_OVERRIDE=FY","FILING_STATUS=MR","SCALING_FORMAT=MLN","Sort=A","Dates=H","DateFormat=P","Fill=—","Direction=H","UseDPDF=Y")</f>
        <v>24.25</v>
      </c>
      <c r="I48" s="29">
        <f>_xll.BDH("ALGEV FP Equity","BS_ST_BORROW","FY 2016","FY 2016","Currency=EUR","Period=FY","BEST_FPERIOD_OVERRIDE=FY","FILING_STATUS=MR","SCALING_FORMAT=MLN","Sort=A","Dates=H","DateFormat=P","Fill=—","Direction=H","UseDPDF=Y")</f>
        <v>18.103999999999999</v>
      </c>
      <c r="J48" s="29">
        <f>_xll.BDH("ALGEV FP Equity","BS_ST_BORROW","FY 2017","FY 2017","Currency=EUR","Period=FY","BEST_FPERIOD_OVERRIDE=FY","FILING_STATUS=MR","SCALING_FORMAT=MLN","Sort=A","Dates=H","DateFormat=P","Fill=—","Direction=H","UseDPDF=Y")</f>
        <v>3.0150000000000001</v>
      </c>
      <c r="K48" s="29">
        <f>_xll.BDH("ALGEV FP Equity","BS_ST_BORROW","FY 2018","FY 2018","Currency=EUR","Period=FY","BEST_FPERIOD_OVERRIDE=FY","FILING_STATUS=MR","SCALING_FORMAT=MLN","Sort=A","Dates=H","DateFormat=P","Fill=—","Direction=H","UseDPDF=Y")</f>
        <v>3.21</v>
      </c>
      <c r="L48" s="29">
        <f>_xll.BDH("ALGEV FP Equity","BS_ST_BORROW","FY 2019","FY 2019","Currency=EUR","Period=FY","BEST_FPERIOD_OVERRIDE=FY","FILING_STATUS=MR","SCALING_FORMAT=MLN","Sort=A","Dates=H","DateFormat=P","Fill=—","Direction=H","UseDPDF=Y")</f>
        <v>4.6749999999999998</v>
      </c>
    </row>
    <row r="49" spans="1:12" x14ac:dyDescent="0.25">
      <c r="A49" s="26" t="s">
        <v>103</v>
      </c>
      <c r="B49" s="26" t="s">
        <v>104</v>
      </c>
      <c r="C49" s="29">
        <f>_xll.BDH("ALGEV FP Equity","SHORT_TERM_DEBT_DETAILED","FY 2010","FY 2010","Currency=EUR","Period=FY","BEST_FPERIOD_OVERRIDE=FY","FILING_STATUS=MR","SCALING_FORMAT=MLN","Sort=A","Dates=H","DateFormat=P","Fill=—","Direction=H","UseDPDF=Y")</f>
        <v>7.407</v>
      </c>
      <c r="D49" s="29">
        <f>_xll.BDH("ALGEV FP Equity","SHORT_TERM_DEBT_DETAILED","FY 2011","FY 2011","Currency=EUR","Period=FY","BEST_FPERIOD_OVERRIDE=FY","FILING_STATUS=MR","SCALING_FORMAT=MLN","Sort=A","Dates=H","DateFormat=P","Fill=—","Direction=H","UseDPDF=Y")</f>
        <v>12.247</v>
      </c>
      <c r="E49" s="29">
        <f>_xll.BDH("ALGEV FP Equity","SHORT_TERM_DEBT_DETAILED","FY 2012","FY 2012","Currency=EUR","Period=FY","BEST_FPERIOD_OVERRIDE=FY","FILING_STATUS=MR","SCALING_FORMAT=MLN","Sort=A","Dates=H","DateFormat=P","Fill=—","Direction=H","UseDPDF=Y")</f>
        <v>8.84</v>
      </c>
      <c r="F49" s="29">
        <v>0</v>
      </c>
      <c r="G49" s="29">
        <v>0</v>
      </c>
      <c r="H49" s="29">
        <v>0</v>
      </c>
      <c r="I49" s="29">
        <f>_xll.BDH("ALGEV FP Equity","SHORT_TERM_DEBT_DETAILED","FY 2016","FY 2016","Currency=EUR","Period=FY","BEST_FPERIOD_OVERRIDE=FY","FILING_STATUS=MR","SCALING_FORMAT=MLN","Sort=A","Dates=H","DateFormat=P","Fill=—","Direction=H","UseDPDF=Y")</f>
        <v>7.4219999999999997</v>
      </c>
      <c r="J49" s="29">
        <f>_xll.BDH("ALGEV FP Equity","SHORT_TERM_DEBT_DETAILED","FY 2017","FY 2017","Currency=EUR","Period=FY","BEST_FPERIOD_OVERRIDE=FY","FILING_STATUS=MR","SCALING_FORMAT=MLN","Sort=A","Dates=H","DateFormat=P","Fill=—","Direction=H","UseDPDF=Y")</f>
        <v>0.02</v>
      </c>
      <c r="K49" s="29">
        <f>_xll.BDH("ALGEV FP Equity","SHORT_TERM_DEBT_DETAILED","FY 2018","FY 2018","Currency=EUR","Period=FY","BEST_FPERIOD_OVERRIDE=FY","FILING_STATUS=MR","SCALING_FORMAT=MLN","Sort=A","Dates=H","DateFormat=P","Fill=—","Direction=H","UseDPDF=Y")</f>
        <v>1E-3</v>
      </c>
      <c r="L49" s="29">
        <f>_xll.BDH("ALGEV FP Equity","SHORT_TERM_DEBT_DETAILED","FY 2019","FY 2019","Currency=EUR","Period=FY","BEST_FPERIOD_OVERRIDE=FY","FILING_STATUS=MR","SCALING_FORMAT=MLN","Sort=A","Dates=H","DateFormat=P","Fill=—","Direction=H","UseDPDF=Y")</f>
        <v>0</v>
      </c>
    </row>
    <row r="50" spans="1:12" x14ac:dyDescent="0.25">
      <c r="A50" s="26" t="s">
        <v>105</v>
      </c>
      <c r="B50" s="26" t="s">
        <v>106</v>
      </c>
      <c r="C50" s="29">
        <f>_xll.BDH("ALGEV FP Equity","ST_CAPITALIZED_LEASE_LIABILITIES","FY 2010","FY 2010","Currency=EUR","Period=FY","BEST_FPERIOD_OVERRIDE=FY","FILING_STATUS=MR","SCALING_FORMAT=MLN","Sort=A","Dates=H","DateFormat=P","Fill=—","Direction=H","UseDPDF=Y")</f>
        <v>2.0409999999999999</v>
      </c>
      <c r="D50" s="29">
        <f>_xll.BDH("ALGEV FP Equity","ST_CAPITALIZED_LEASE_LIABILITIES","FY 2011","FY 2011","Currency=EUR","Period=FY","BEST_FPERIOD_OVERRIDE=FY","FILING_STATUS=MR","SCALING_FORMAT=MLN","Sort=A","Dates=H","DateFormat=P","Fill=—","Direction=H","UseDPDF=Y")</f>
        <v>2.1320000000000001</v>
      </c>
      <c r="E50" s="29">
        <f>_xll.BDH("ALGEV FP Equity","ST_CAPITALIZED_LEASE_LIABILITIES","FY 2012","FY 2012","Currency=EUR","Period=FY","BEST_FPERIOD_OVERRIDE=FY","FILING_STATUS=MR","SCALING_FORMAT=MLN","Sort=A","Dates=H","DateFormat=P","Fill=—","Direction=H","UseDPDF=Y")</f>
        <v>2.0449999999999999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f>_xll.BDH("ALGEV FP Equity","ST_CAPITALIZED_LEASE_LIABILITIES","FY 2019","FY 2019","Currency=EUR","Period=FY","BEST_FPERIOD_OVERRIDE=FY","FILING_STATUS=MR","SCALING_FORMAT=MLN","Sort=A","Dates=H","DateFormat=P","Fill=—","Direction=H","UseDPDF=Y")</f>
        <v>1.9849999999999999</v>
      </c>
    </row>
    <row r="51" spans="1:12" x14ac:dyDescent="0.25">
      <c r="A51" s="27" t="s">
        <v>107</v>
      </c>
      <c r="B51" s="27" t="s">
        <v>108</v>
      </c>
      <c r="C51" s="33">
        <f>_xll.BDH("ALGEV FP Equity","ST_CAPITAL_LEASE_OBLIGATIONS","FY 2010","FY 2010","Currency=EUR","Period=FY","BEST_FPERIOD_OVERRIDE=FY","FILING_STATUS=MR","SCALING_FORMAT=MLN","Sort=A","Dates=H","DateFormat=P","Fill=—","Direction=H","UseDPDF=Y")</f>
        <v>2.0409999999999999</v>
      </c>
      <c r="D51" s="33">
        <f>_xll.BDH("ALGEV FP Equity","ST_CAPITAL_LEASE_OBLIGATIONS","FY 2011","FY 2011","Currency=EUR","Period=FY","BEST_FPERIOD_OVERRIDE=FY","FILING_STATUS=MR","SCALING_FORMAT=MLN","Sort=A","Dates=H","DateFormat=P","Fill=—","Direction=H","UseDPDF=Y")</f>
        <v>2.1320000000000001</v>
      </c>
      <c r="E51" s="33">
        <f>_xll.BDH("ALGEV FP Equity","ST_CAPITAL_LEASE_OBLIGATIONS","FY 2012","FY 2012","Currency=EUR","Period=FY","BEST_FPERIOD_OVERRIDE=FY","FILING_STATUS=MR","SCALING_FORMAT=MLN","Sort=A","Dates=H","DateFormat=P","Fill=—","Direction=H","UseDPDF=Y")</f>
        <v>2.0449999999999999</v>
      </c>
      <c r="F51" s="33">
        <v>0</v>
      </c>
      <c r="G51" s="33">
        <v>0</v>
      </c>
      <c r="H51" s="33">
        <v>0</v>
      </c>
      <c r="I51" s="33">
        <v>0</v>
      </c>
      <c r="J51" s="33">
        <v>0</v>
      </c>
      <c r="K51" s="33">
        <v>0</v>
      </c>
      <c r="L51" s="33">
        <v>0</v>
      </c>
    </row>
    <row r="52" spans="1:12" x14ac:dyDescent="0.25">
      <c r="A52" s="26" t="s">
        <v>109</v>
      </c>
      <c r="B52" s="26" t="s">
        <v>110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f>_xll.BDH("ALGEV FP Equity","BS_CURR_PORTION_LT_DEBT","FY 2016","FY 2016","Currency=EUR","Period=FY","BEST_FPERIOD_OVERRIDE=FY","FILING_STATUS=MR","SCALING_FORMAT=MLN","Sort=A","Dates=H","DateFormat=P","Fill=—","Direction=H","UseDPDF=Y")</f>
        <v>10.682</v>
      </c>
      <c r="J52" s="29">
        <f>_xll.BDH("ALGEV FP Equity","BS_CURR_PORTION_LT_DEBT","FY 2017","FY 2017","Currency=EUR","Period=FY","BEST_FPERIOD_OVERRIDE=FY","FILING_STATUS=MR","SCALING_FORMAT=MLN","Sort=A","Dates=H","DateFormat=P","Fill=—","Direction=H","UseDPDF=Y")</f>
        <v>2.9950000000000001</v>
      </c>
      <c r="K52" s="29">
        <f>_xll.BDH("ALGEV FP Equity","BS_CURR_PORTION_LT_DEBT","FY 2018","FY 2018","Currency=EUR","Period=FY","BEST_FPERIOD_OVERRIDE=FY","FILING_STATUS=MR","SCALING_FORMAT=MLN","Sort=A","Dates=H","DateFormat=P","Fill=—","Direction=H","UseDPDF=Y")</f>
        <v>3.2090000000000001</v>
      </c>
      <c r="L52" s="29">
        <f>_xll.BDH("ALGEV FP Equity","BS_CURR_PORTION_LT_DEBT","FY 2019","FY 2019","Currency=EUR","Period=FY","BEST_FPERIOD_OVERRIDE=FY","FILING_STATUS=MR","SCALING_FORMAT=MLN","Sort=A","Dates=H","DateFormat=P","Fill=—","Direction=H","UseDPDF=Y")</f>
        <v>2.69</v>
      </c>
    </row>
    <row r="53" spans="1:12" x14ac:dyDescent="0.25">
      <c r="A53" s="26" t="s">
        <v>111</v>
      </c>
      <c r="B53" s="26" t="s">
        <v>112</v>
      </c>
      <c r="C53" s="29">
        <f>_xll.BDH("ALGEV FP Equity","OTHER_CURRENT_LIABS_SUB_DETAILED","FY 2010","FY 2010","Currency=EUR","Period=FY","BEST_FPERIOD_OVERRIDE=FY","FILING_STATUS=MR","SCALING_FORMAT=MLN","Sort=A","Dates=H","DateFormat=P","Fill=—","Direction=H","UseDPDF=Y")</f>
        <v>24.126999999999999</v>
      </c>
      <c r="D53" s="29">
        <f>_xll.BDH("ALGEV FP Equity","OTHER_CURRENT_LIABS_SUB_DETAILED","FY 2011","FY 2011","Currency=EUR","Period=FY","BEST_FPERIOD_OVERRIDE=FY","FILING_STATUS=MR","SCALING_FORMAT=MLN","Sort=A","Dates=H","DateFormat=P","Fill=—","Direction=H","UseDPDF=Y")</f>
        <v>23.312000000000001</v>
      </c>
      <c r="E53" s="29">
        <f>_xll.BDH("ALGEV FP Equity","OTHER_CURRENT_LIABS_SUB_DETAILED","FY 2012","FY 2012","Currency=EUR","Period=FY","BEST_FPERIOD_OVERRIDE=FY","FILING_STATUS=MR","SCALING_FORMAT=MLN","Sort=A","Dates=H","DateFormat=P","Fill=—","Direction=H","UseDPDF=Y")</f>
        <v>22.53</v>
      </c>
      <c r="F53" s="29">
        <f>_xll.BDH("ALGEV FP Equity","OTHER_CURRENT_LIABS_SUB_DETAILED","FY 2013","FY 2013","Currency=EUR","Period=FY","BEST_FPERIOD_OVERRIDE=FY","FILING_STATUS=MR","SCALING_FORMAT=MLN","Sort=A","Dates=H","DateFormat=P","Fill=—","Direction=H","UseDPDF=Y")</f>
        <v>21.349</v>
      </c>
      <c r="G53" s="29">
        <f>_xll.BDH("ALGEV FP Equity","OTHER_CURRENT_LIABS_SUB_DETAILED","FY 2014","FY 2014","Currency=EUR","Period=FY","BEST_FPERIOD_OVERRIDE=FY","FILING_STATUS=MR","SCALING_FORMAT=MLN","Sort=A","Dates=H","DateFormat=P","Fill=—","Direction=H","UseDPDF=Y")</f>
        <v>56.031999999999996</v>
      </c>
      <c r="H53" s="29">
        <f>_xll.BDH("ALGEV FP Equity","OTHER_CURRENT_LIABS_SUB_DETAILED","FY 2015","FY 2015","Currency=EUR","Period=FY","BEST_FPERIOD_OVERRIDE=FY","FILING_STATUS=MR","SCALING_FORMAT=MLN","Sort=A","Dates=H","DateFormat=P","Fill=—","Direction=H","UseDPDF=Y")</f>
        <v>61.506999999999998</v>
      </c>
      <c r="I53" s="29">
        <f>_xll.BDH("ALGEV FP Equity","OTHER_CURRENT_LIABS_SUB_DETAILED","FY 2016","FY 2016","Currency=EUR","Period=FY","BEST_FPERIOD_OVERRIDE=FY","FILING_STATUS=MR","SCALING_FORMAT=MLN","Sort=A","Dates=H","DateFormat=P","Fill=—","Direction=H","UseDPDF=Y")</f>
        <v>78.863</v>
      </c>
      <c r="J53" s="29">
        <f>_xll.BDH("ALGEV FP Equity","OTHER_CURRENT_LIABS_SUB_DETAILED","FY 2017","FY 2017","Currency=EUR","Period=FY","BEST_FPERIOD_OVERRIDE=FY","FILING_STATUS=MR","SCALING_FORMAT=MLN","Sort=A","Dates=H","DateFormat=P","Fill=—","Direction=H","UseDPDF=Y")</f>
        <v>65.143000000000001</v>
      </c>
      <c r="K53" s="29">
        <f>_xll.BDH("ALGEV FP Equity","OTHER_CURRENT_LIABS_SUB_DETAILED","FY 2018","FY 2018","Currency=EUR","Period=FY","BEST_FPERIOD_OVERRIDE=FY","FILING_STATUS=MR","SCALING_FORMAT=MLN","Sort=A","Dates=H","DateFormat=P","Fill=—","Direction=H","UseDPDF=Y")</f>
        <v>53.485999999999997</v>
      </c>
      <c r="L53" s="29">
        <f>_xll.BDH("ALGEV FP Equity","OTHER_CURRENT_LIABS_SUB_DETAILED","FY 2019","FY 2019","Currency=EUR","Period=FY","BEST_FPERIOD_OVERRIDE=FY","FILING_STATUS=MR","SCALING_FORMAT=MLN","Sort=A","Dates=H","DateFormat=P","Fill=—","Direction=H","UseDPDF=Y")</f>
        <v>54.33</v>
      </c>
    </row>
    <row r="54" spans="1:12" x14ac:dyDescent="0.25">
      <c r="A54" s="26" t="s">
        <v>113</v>
      </c>
      <c r="B54" s="26" t="s">
        <v>114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f>_xll.BDH("ALGEV FP Equity","ST_DEFERRED_REVENUE","FY 2016","FY 2016","Currency=EUR","Period=FY","BEST_FPERIOD_OVERRIDE=FY","FILING_STATUS=MR","SCALING_FORMAT=MLN","Sort=A","Dates=H","DateFormat=P","Fill=—","Direction=H","UseDPDF=Y")</f>
        <v>0</v>
      </c>
      <c r="J54" s="29">
        <f>_xll.BDH("ALGEV FP Equity","ST_DEFERRED_REVENUE","FY 2017","FY 2017","Currency=EUR","Period=FY","BEST_FPERIOD_OVERRIDE=FY","FILING_STATUS=MR","SCALING_FORMAT=MLN","Sort=A","Dates=H","DateFormat=P","Fill=—","Direction=H","UseDPDF=Y")</f>
        <v>0</v>
      </c>
      <c r="K54" s="29">
        <f>_xll.BDH("ALGEV FP Equity","ST_DEFERRED_REVENUE","FY 2018","FY 2018","Currency=EUR","Period=FY","BEST_FPERIOD_OVERRIDE=FY","FILING_STATUS=MR","SCALING_FORMAT=MLN","Sort=A","Dates=H","DateFormat=P","Fill=—","Direction=H","UseDPDF=Y")</f>
        <v>51.881</v>
      </c>
      <c r="L54" s="29">
        <f>_xll.BDH("ALGEV FP Equity","ST_DEFERRED_REVENUE","FY 2019","FY 2019","Currency=EUR","Period=FY","BEST_FPERIOD_OVERRIDE=FY","FILING_STATUS=MR","SCALING_FORMAT=MLN","Sort=A","Dates=H","DateFormat=P","Fill=—","Direction=H","UseDPDF=Y")</f>
        <v>53.14</v>
      </c>
    </row>
    <row r="55" spans="1:12" x14ac:dyDescent="0.25">
      <c r="A55" s="26" t="s">
        <v>115</v>
      </c>
      <c r="B55" s="26" t="s">
        <v>116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f>_xll.BDH("ALGEV FP Equity","BS_DERIVATIVE_&amp;_HEDGING_LIABS_ST","FY 2016","FY 2016","Currency=EUR","Period=FY","BEST_FPERIOD_OVERRIDE=FY","FILING_STATUS=MR","SCALING_FORMAT=MLN","Sort=A","Dates=H","DateFormat=P","Fill=—","Direction=H","UseDPDF=Y")</f>
        <v>0.63200000000000001</v>
      </c>
      <c r="J55" s="29">
        <f>_xll.BDH("ALGEV FP Equity","BS_DERIVATIVE_&amp;_HEDGING_LIABS_ST","FY 2017","FY 2017","Currency=EUR","Period=FY","BEST_FPERIOD_OVERRIDE=FY","FILING_STATUS=MR","SCALING_FORMAT=MLN","Sort=A","Dates=H","DateFormat=P","Fill=—","Direction=H","UseDPDF=Y")</f>
        <v>4.9000000000000002E-2</v>
      </c>
      <c r="K55" s="29">
        <f>_xll.BDH("ALGEV FP Equity","BS_DERIVATIVE_&amp;_HEDGING_LIABS_ST","FY 2018","FY 2018","Currency=EUR","Period=FY","BEST_FPERIOD_OVERRIDE=FY","FILING_STATUS=MR","SCALING_FORMAT=MLN","Sort=A","Dates=H","DateFormat=P","Fill=—","Direction=H","UseDPDF=Y")</f>
        <v>0</v>
      </c>
      <c r="L55" s="29">
        <f>_xll.BDH("ALGEV FP Equity","BS_DERIVATIVE_&amp;_HEDGING_LIABS_ST","FY 2019","FY 2019","Currency=EUR","Period=FY","BEST_FPERIOD_OVERRIDE=FY","FILING_STATUS=MR","SCALING_FORMAT=MLN","Sort=A","Dates=H","DateFormat=P","Fill=—","Direction=H","UseDPDF=Y")</f>
        <v>0</v>
      </c>
    </row>
    <row r="56" spans="1:12" x14ac:dyDescent="0.25">
      <c r="A56" s="26" t="s">
        <v>117</v>
      </c>
      <c r="B56" s="26" t="s">
        <v>118</v>
      </c>
      <c r="C56" s="29">
        <f>_xll.BDH("ALGEV FP Equity","OTHER_CURRENT_LIABS_DETAILED","FY 2010","FY 2010","Currency=EUR","Period=FY","BEST_FPERIOD_OVERRIDE=FY","FILING_STATUS=MR","SCALING_FORMAT=MLN","Sort=A","Dates=H","DateFormat=P","Fill=—","Direction=H","UseDPDF=Y")</f>
        <v>24.126999999999999</v>
      </c>
      <c r="D56" s="29">
        <f>_xll.BDH("ALGEV FP Equity","OTHER_CURRENT_LIABS_DETAILED","FY 2011","FY 2011","Currency=EUR","Period=FY","BEST_FPERIOD_OVERRIDE=FY","FILING_STATUS=MR","SCALING_FORMAT=MLN","Sort=A","Dates=H","DateFormat=P","Fill=—","Direction=H","UseDPDF=Y")</f>
        <v>23.312000000000001</v>
      </c>
      <c r="E56" s="29">
        <f>_xll.BDH("ALGEV FP Equity","OTHER_CURRENT_LIABS_DETAILED","FY 2012","FY 2012","Currency=EUR","Period=FY","BEST_FPERIOD_OVERRIDE=FY","FILING_STATUS=MR","SCALING_FORMAT=MLN","Sort=A","Dates=H","DateFormat=P","Fill=—","Direction=H","UseDPDF=Y")</f>
        <v>22.53</v>
      </c>
      <c r="F56" s="29">
        <f>_xll.BDH("ALGEV FP Equity","OTHER_CURRENT_LIABS_DETAILED","FY 2013","FY 2013","Currency=EUR","Period=FY","BEST_FPERIOD_OVERRIDE=FY","FILING_STATUS=MR","SCALING_FORMAT=MLN","Sort=A","Dates=H","DateFormat=P","Fill=—","Direction=H","UseDPDF=Y")</f>
        <v>21.349</v>
      </c>
      <c r="G56" s="29">
        <f>_xll.BDH("ALGEV FP Equity","OTHER_CURRENT_LIABS_DETAILED","FY 2014","FY 2014","Currency=EUR","Period=FY","BEST_FPERIOD_OVERRIDE=FY","FILING_STATUS=MR","SCALING_FORMAT=MLN","Sort=A","Dates=H","DateFormat=P","Fill=—","Direction=H","UseDPDF=Y")</f>
        <v>56.031999999999996</v>
      </c>
      <c r="H56" s="29">
        <f>_xll.BDH("ALGEV FP Equity","OTHER_CURRENT_LIABS_DETAILED","FY 2015","FY 2015","Currency=EUR","Period=FY","BEST_FPERIOD_OVERRIDE=FY","FILING_STATUS=MR","SCALING_FORMAT=MLN","Sort=A","Dates=H","DateFormat=P","Fill=—","Direction=H","UseDPDF=Y")</f>
        <v>61.506999999999998</v>
      </c>
      <c r="I56" s="29">
        <f>_xll.BDH("ALGEV FP Equity","OTHER_CURRENT_LIABS_DETAILED","FY 2016","FY 2016","Currency=EUR","Period=FY","BEST_FPERIOD_OVERRIDE=FY","FILING_STATUS=MR","SCALING_FORMAT=MLN","Sort=A","Dates=H","DateFormat=P","Fill=—","Direction=H","UseDPDF=Y")</f>
        <v>78.230999999999995</v>
      </c>
      <c r="J56" s="29">
        <f>_xll.BDH("ALGEV FP Equity","OTHER_CURRENT_LIABS_DETAILED","FY 2017","FY 2017","Currency=EUR","Period=FY","BEST_FPERIOD_OVERRIDE=FY","FILING_STATUS=MR","SCALING_FORMAT=MLN","Sort=A","Dates=H","DateFormat=P","Fill=—","Direction=H","UseDPDF=Y")</f>
        <v>65.093999999999994</v>
      </c>
      <c r="K56" s="29">
        <f>_xll.BDH("ALGEV FP Equity","OTHER_CURRENT_LIABS_DETAILED","FY 2018","FY 2018","Currency=EUR","Period=FY","BEST_FPERIOD_OVERRIDE=FY","FILING_STATUS=MR","SCALING_FORMAT=MLN","Sort=A","Dates=H","DateFormat=P","Fill=—","Direction=H","UseDPDF=Y")</f>
        <v>1.605</v>
      </c>
      <c r="L56" s="29">
        <f>_xll.BDH("ALGEV FP Equity","OTHER_CURRENT_LIABS_DETAILED","FY 2019","FY 2019","Currency=EUR","Period=FY","BEST_FPERIOD_OVERRIDE=FY","FILING_STATUS=MR","SCALING_FORMAT=MLN","Sort=A","Dates=H","DateFormat=P","Fill=—","Direction=H","UseDPDF=Y")</f>
        <v>1.19</v>
      </c>
    </row>
    <row r="57" spans="1:12" x14ac:dyDescent="0.25">
      <c r="A57" s="22" t="s">
        <v>119</v>
      </c>
      <c r="B57" s="22" t="s">
        <v>120</v>
      </c>
      <c r="C57" s="32">
        <f>_xll.BDH("ALGEV FP Equity","BS_CUR_LIAB","FY 2010","FY 2010","Currency=EUR","Period=FY","BEST_FPERIOD_OVERRIDE=FY","FILING_STATUS=MR","SCALING_FORMAT=MLN","Sort=A","Dates=H","DateFormat=P","Fill=—","Direction=H","UseDPDF=Y")</f>
        <v>55.061999999999998</v>
      </c>
      <c r="D57" s="32">
        <f>_xll.BDH("ALGEV FP Equity","BS_CUR_LIAB","FY 2011","FY 2011","Currency=EUR","Period=FY","BEST_FPERIOD_OVERRIDE=FY","FILING_STATUS=MR","SCALING_FORMAT=MLN","Sort=A","Dates=H","DateFormat=P","Fill=—","Direction=H","UseDPDF=Y")</f>
        <v>61.764000000000003</v>
      </c>
      <c r="E57" s="32">
        <f>_xll.BDH("ALGEV FP Equity","BS_CUR_LIAB","FY 2012","FY 2012","Currency=EUR","Period=FY","BEST_FPERIOD_OVERRIDE=FY","FILING_STATUS=MR","SCALING_FORMAT=MLN","Sort=A","Dates=H","DateFormat=P","Fill=—","Direction=H","UseDPDF=Y")</f>
        <v>56.116999999999997</v>
      </c>
      <c r="F57" s="32">
        <f>_xll.BDH("ALGEV FP Equity","BS_CUR_LIAB","FY 2013","FY 2013","Currency=EUR","Period=FY","BEST_FPERIOD_OVERRIDE=FY","FILING_STATUS=MR","SCALING_FORMAT=MLN","Sort=A","Dates=H","DateFormat=P","Fill=—","Direction=H","UseDPDF=Y")</f>
        <v>66.427000000000007</v>
      </c>
      <c r="G57" s="32">
        <f>_xll.BDH("ALGEV FP Equity","BS_CUR_LIAB","FY 2014","FY 2014","Currency=EUR","Period=FY","BEST_FPERIOD_OVERRIDE=FY","FILING_STATUS=MR","SCALING_FORMAT=MLN","Sort=A","Dates=H","DateFormat=P","Fill=—","Direction=H","UseDPDF=Y")</f>
        <v>113.398</v>
      </c>
      <c r="H57" s="32">
        <f>_xll.BDH("ALGEV FP Equity","BS_CUR_LIAB","FY 2015","FY 2015","Currency=EUR","Period=FY","BEST_FPERIOD_OVERRIDE=FY","FILING_STATUS=MR","SCALING_FORMAT=MLN","Sort=A","Dates=H","DateFormat=P","Fill=—","Direction=H","UseDPDF=Y")</f>
        <v>110.378</v>
      </c>
      <c r="I57" s="32">
        <f>_xll.BDH("ALGEV FP Equity","BS_CUR_LIAB","FY 2016","FY 2016","Currency=EUR","Period=FY","BEST_FPERIOD_OVERRIDE=FY","FILING_STATUS=MR","SCALING_FORMAT=MLN","Sort=A","Dates=H","DateFormat=P","Fill=—","Direction=H","UseDPDF=Y")</f>
        <v>120.488</v>
      </c>
      <c r="J57" s="32">
        <f>_xll.BDH("ALGEV FP Equity","BS_CUR_LIAB","FY 2017","FY 2017","Currency=EUR","Period=FY","BEST_FPERIOD_OVERRIDE=FY","FILING_STATUS=MR","SCALING_FORMAT=MLN","Sort=A","Dates=H","DateFormat=P","Fill=—","Direction=H","UseDPDF=Y")</f>
        <v>79.593999999999994</v>
      </c>
      <c r="K57" s="32">
        <f>_xll.BDH("ALGEV FP Equity","BS_CUR_LIAB","FY 2018","FY 2018","Currency=EUR","Period=FY","BEST_FPERIOD_OVERRIDE=FY","FILING_STATUS=MR","SCALING_FORMAT=MLN","Sort=A","Dates=H","DateFormat=P","Fill=—","Direction=H","UseDPDF=Y")</f>
        <v>77.150000000000006</v>
      </c>
      <c r="L57" s="32">
        <f>_xll.BDH("ALGEV FP Equity","BS_CUR_LIAB","FY 2019","FY 2019","Currency=EUR","Period=FY","BEST_FPERIOD_OVERRIDE=FY","FILING_STATUS=MR","SCALING_FORMAT=MLN","Sort=A","Dates=H","DateFormat=P","Fill=—","Direction=H","UseDPDF=Y")</f>
        <v>79.210999999999999</v>
      </c>
    </row>
    <row r="58" spans="1:12" x14ac:dyDescent="0.25">
      <c r="A58" s="26" t="s">
        <v>121</v>
      </c>
      <c r="B58" s="26" t="s">
        <v>122</v>
      </c>
      <c r="C58" s="29">
        <f>_xll.BDH("ALGEV FP Equity","BS_LT_BORROW","FY 2010","FY 2010","Currency=EUR","Period=FY","BEST_FPERIOD_OVERRIDE=FY","FILING_STATUS=MR","SCALING_FORMAT=MLN","Sort=A","Dates=H","DateFormat=P","Fill=—","Direction=H","UseDPDF=Y")</f>
        <v>9.8079999999999998</v>
      </c>
      <c r="D58" s="29">
        <f>_xll.BDH("ALGEV FP Equity","BS_LT_BORROW","FY 2011","FY 2011","Currency=EUR","Period=FY","BEST_FPERIOD_OVERRIDE=FY","FILING_STATUS=MR","SCALING_FORMAT=MLN","Sort=A","Dates=H","DateFormat=P","Fill=—","Direction=H","UseDPDF=Y")</f>
        <v>6.1609999999999996</v>
      </c>
      <c r="E58" s="29">
        <f>_xll.BDH("ALGEV FP Equity","BS_LT_BORROW","FY 2012","FY 2012","Currency=EUR","Period=FY","BEST_FPERIOD_OVERRIDE=FY","FILING_STATUS=MR","SCALING_FORMAT=MLN","Sort=A","Dates=H","DateFormat=P","Fill=—","Direction=H","UseDPDF=Y")</f>
        <v>7.8760000000000003</v>
      </c>
      <c r="F58" s="29">
        <f>_xll.BDH("ALGEV FP Equity","BS_LT_BORROW","FY 2013","FY 2013","Currency=EUR","Period=FY","BEST_FPERIOD_OVERRIDE=FY","FILING_STATUS=MR","SCALING_FORMAT=MLN","Sort=A","Dates=H","DateFormat=P","Fill=—","Direction=H","UseDPDF=Y")</f>
        <v>14.568</v>
      </c>
      <c r="G58" s="29">
        <f>_xll.BDH("ALGEV FP Equity","BS_LT_BORROW","FY 2014","FY 2014","Currency=EUR","Period=FY","BEST_FPERIOD_OVERRIDE=FY","FILING_STATUS=MR","SCALING_FORMAT=MLN","Sort=A","Dates=H","DateFormat=P","Fill=—","Direction=H","UseDPDF=Y")</f>
        <v>17.847000000000001</v>
      </c>
      <c r="H58" s="29">
        <f>_xll.BDH("ALGEV FP Equity","BS_LT_BORROW","FY 2015","FY 2015","Currency=EUR","Period=FY","BEST_FPERIOD_OVERRIDE=FY","FILING_STATUS=MR","SCALING_FORMAT=MLN","Sort=A","Dates=H","DateFormat=P","Fill=—","Direction=H","UseDPDF=Y")</f>
        <v>16.472999999999999</v>
      </c>
      <c r="I58" s="29">
        <f>_xll.BDH("ALGEV FP Equity","BS_LT_BORROW","FY 2016","FY 2016","Currency=EUR","Period=FY","BEST_FPERIOD_OVERRIDE=FY","FILING_STATUS=MR","SCALING_FORMAT=MLN","Sort=A","Dates=H","DateFormat=P","Fill=—","Direction=H","UseDPDF=Y")</f>
        <v>21.946000000000002</v>
      </c>
      <c r="J58" s="29">
        <f>_xll.BDH("ALGEV FP Equity","BS_LT_BORROW","FY 2017","FY 2017","Currency=EUR","Period=FY","BEST_FPERIOD_OVERRIDE=FY","FILING_STATUS=MR","SCALING_FORMAT=MLN","Sort=A","Dates=H","DateFormat=P","Fill=—","Direction=H","UseDPDF=Y")</f>
        <v>9.8829999999999991</v>
      </c>
      <c r="K58" s="29">
        <f>_xll.BDH("ALGEV FP Equity","BS_LT_BORROW","FY 2018","FY 2018","Currency=EUR","Period=FY","BEST_FPERIOD_OVERRIDE=FY","FILING_STATUS=MR","SCALING_FORMAT=MLN","Sort=A","Dates=H","DateFormat=P","Fill=—","Direction=H","UseDPDF=Y")</f>
        <v>7.2539999999999996</v>
      </c>
      <c r="L58" s="29">
        <f>_xll.BDH("ALGEV FP Equity","BS_LT_BORROW","FY 2019","FY 2019","Currency=EUR","Period=FY","BEST_FPERIOD_OVERRIDE=FY","FILING_STATUS=MR","SCALING_FORMAT=MLN","Sort=A","Dates=H","DateFormat=P","Fill=—","Direction=H","UseDPDF=Y")</f>
        <v>7.7080000000000002</v>
      </c>
    </row>
    <row r="59" spans="1:12" x14ac:dyDescent="0.25">
      <c r="A59" s="26" t="s">
        <v>123</v>
      </c>
      <c r="B59" s="26" t="s">
        <v>124</v>
      </c>
      <c r="C59" s="29">
        <f>_xll.BDH("ALGEV FP Equity","LONG_TERM_BORROWINGS_DETAILED","FY 2010","FY 2010","Currency=EUR","Period=FY","BEST_FPERIOD_OVERRIDE=FY","FILING_STATUS=MR","SCALING_FORMAT=MLN","Sort=A","Dates=H","DateFormat=P","Fill=—","Direction=H","UseDPDF=Y")</f>
        <v>5.0190000000000001</v>
      </c>
      <c r="D59" s="29">
        <f>_xll.BDH("ALGEV FP Equity","LONG_TERM_BORROWINGS_DETAILED","FY 2011","FY 2011","Currency=EUR","Period=FY","BEST_FPERIOD_OVERRIDE=FY","FILING_STATUS=MR","SCALING_FORMAT=MLN","Sort=A","Dates=H","DateFormat=P","Fill=—","Direction=H","UseDPDF=Y")</f>
        <v>3.38</v>
      </c>
      <c r="E59" s="29">
        <f>_xll.BDH("ALGEV FP Equity","LONG_TERM_BORROWINGS_DETAILED","FY 2012","FY 2012","Currency=EUR","Period=FY","BEST_FPERIOD_OVERRIDE=FY","FILING_STATUS=MR","SCALING_FORMAT=MLN","Sort=A","Dates=H","DateFormat=P","Fill=—","Direction=H","UseDPDF=Y")</f>
        <v>3.7170000000000001</v>
      </c>
      <c r="F59" s="29">
        <v>0</v>
      </c>
      <c r="G59" s="29">
        <v>0</v>
      </c>
      <c r="H59" s="29">
        <v>0</v>
      </c>
      <c r="I59" s="29">
        <f>_xll.BDH("ALGEV FP Equity","LONG_TERM_BORROWINGS_DETAILED","FY 2016","FY 2016","Currency=EUR","Period=FY","BEST_FPERIOD_OVERRIDE=FY","FILING_STATUS=MR","SCALING_FORMAT=MLN","Sort=A","Dates=H","DateFormat=P","Fill=—","Direction=H","UseDPDF=Y")</f>
        <v>21.946000000000002</v>
      </c>
      <c r="J59" s="29">
        <f>_xll.BDH("ALGEV FP Equity","LONG_TERM_BORROWINGS_DETAILED","FY 2017","FY 2017","Currency=EUR","Period=FY","BEST_FPERIOD_OVERRIDE=FY","FILING_STATUS=MR","SCALING_FORMAT=MLN","Sort=A","Dates=H","DateFormat=P","Fill=—","Direction=H","UseDPDF=Y")</f>
        <v>9.8829999999999991</v>
      </c>
      <c r="K59" s="29">
        <f>_xll.BDH("ALGEV FP Equity","LONG_TERM_BORROWINGS_DETAILED","FY 2018","FY 2018","Currency=EUR","Period=FY","BEST_FPERIOD_OVERRIDE=FY","FILING_STATUS=MR","SCALING_FORMAT=MLN","Sort=A","Dates=H","DateFormat=P","Fill=—","Direction=H","UseDPDF=Y")</f>
        <v>7.2539999999999996</v>
      </c>
      <c r="L59" s="29">
        <f>_xll.BDH("ALGEV FP Equity","LONG_TERM_BORROWINGS_DETAILED","FY 2019","FY 2019","Currency=EUR","Period=FY","BEST_FPERIOD_OVERRIDE=FY","FILING_STATUS=MR","SCALING_FORMAT=MLN","Sort=A","Dates=H","DateFormat=P","Fill=—","Direction=H","UseDPDF=Y")</f>
        <v>2.677</v>
      </c>
    </row>
    <row r="60" spans="1:12" x14ac:dyDescent="0.25">
      <c r="A60" s="26" t="s">
        <v>125</v>
      </c>
      <c r="B60" s="26" t="s">
        <v>126</v>
      </c>
      <c r="C60" s="29">
        <f>_xll.BDH("ALGEV FP Equity","LT_CAPITALIZED_LEASE_LIABILITIES","FY 2010","FY 2010","Currency=EUR","Period=FY","BEST_FPERIOD_OVERRIDE=FY","FILING_STATUS=MR","SCALING_FORMAT=MLN","Sort=A","Dates=H","DateFormat=P","Fill=—","Direction=H","UseDPDF=Y")</f>
        <v>4.7889999999999997</v>
      </c>
      <c r="D60" s="29">
        <f>_xll.BDH("ALGEV FP Equity","LT_CAPITALIZED_LEASE_LIABILITIES","FY 2011","FY 2011","Currency=EUR","Period=FY","BEST_FPERIOD_OVERRIDE=FY","FILING_STATUS=MR","SCALING_FORMAT=MLN","Sort=A","Dates=H","DateFormat=P","Fill=—","Direction=H","UseDPDF=Y")</f>
        <v>2.7810000000000001</v>
      </c>
      <c r="E60" s="29">
        <f>_xll.BDH("ALGEV FP Equity","LT_CAPITALIZED_LEASE_LIABILITIES","FY 2012","FY 2012","Currency=EUR","Period=FY","BEST_FPERIOD_OVERRIDE=FY","FILING_STATUS=MR","SCALING_FORMAT=MLN","Sort=A","Dates=H","DateFormat=P","Fill=—","Direction=H","UseDPDF=Y")</f>
        <v>4.1589999999999998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f>_xll.BDH("ALGEV FP Equity","LT_CAPITALIZED_LEASE_LIABILITIES","FY 2019","FY 2019","Currency=EUR","Period=FY","BEST_FPERIOD_OVERRIDE=FY","FILING_STATUS=MR","SCALING_FORMAT=MLN","Sort=A","Dates=H","DateFormat=P","Fill=—","Direction=H","UseDPDF=Y")</f>
        <v>5.0309999999999997</v>
      </c>
    </row>
    <row r="61" spans="1:12" x14ac:dyDescent="0.25">
      <c r="A61" s="27" t="s">
        <v>127</v>
      </c>
      <c r="B61" s="27" t="s">
        <v>128</v>
      </c>
      <c r="C61" s="33">
        <f>_xll.BDH("ALGEV FP Equity","LT_CAPITAL_LEASE_OBLIGATIONS","FY 2010","FY 2010","Currency=EUR","Period=FY","BEST_FPERIOD_OVERRIDE=FY","FILING_STATUS=MR","SCALING_FORMAT=MLN","Sort=A","Dates=H","DateFormat=P","Fill=—","Direction=H","UseDPDF=Y")</f>
        <v>4.7889999999999997</v>
      </c>
      <c r="D61" s="33">
        <f>_xll.BDH("ALGEV FP Equity","LT_CAPITAL_LEASE_OBLIGATIONS","FY 2011","FY 2011","Currency=EUR","Period=FY","BEST_FPERIOD_OVERRIDE=FY","FILING_STATUS=MR","SCALING_FORMAT=MLN","Sort=A","Dates=H","DateFormat=P","Fill=—","Direction=H","UseDPDF=Y")</f>
        <v>2.7810000000000001</v>
      </c>
      <c r="E61" s="33">
        <f>_xll.BDH("ALGEV FP Equity","LT_CAPITAL_LEASE_OBLIGATIONS","FY 2012","FY 2012","Currency=EUR","Period=FY","BEST_FPERIOD_OVERRIDE=FY","FILING_STATUS=MR","SCALING_FORMAT=MLN","Sort=A","Dates=H","DateFormat=P","Fill=—","Direction=H","UseDPDF=Y")</f>
        <v>4.1589999999999998</v>
      </c>
      <c r="F61" s="33">
        <v>0</v>
      </c>
      <c r="G61" s="33">
        <v>0</v>
      </c>
      <c r="H61" s="33">
        <v>0</v>
      </c>
      <c r="I61" s="33">
        <v>0</v>
      </c>
      <c r="J61" s="33">
        <v>0</v>
      </c>
      <c r="K61" s="33">
        <v>0</v>
      </c>
      <c r="L61" s="33" t="str">
        <f>_xll.BDH("ALGEV FP Equity","LT_CAPITAL_LEASE_OBLIGATIONS","FY 2019","FY 2019","Currency=EUR","Period=FY","BEST_FPERIOD_OVERRIDE=FY","FILING_STATUS=MR","SCALING_FORMAT=MLN","Sort=A","Dates=H","DateFormat=P","Fill=—","Direction=H","UseDPDF=Y")</f>
        <v>—</v>
      </c>
    </row>
    <row r="62" spans="1:12" x14ac:dyDescent="0.25">
      <c r="A62" s="26" t="s">
        <v>129</v>
      </c>
      <c r="B62" s="26" t="s">
        <v>130</v>
      </c>
      <c r="C62" s="29">
        <f>_xll.BDH("ALGEV FP Equity","OTHER_NONCUR_LIABS_SUB_DETAILED","FY 2010","FY 2010","Currency=EUR","Period=FY","BEST_FPERIOD_OVERRIDE=FY","FILING_STATUS=MR","SCALING_FORMAT=MLN","Sort=A","Dates=H","DateFormat=P","Fill=—","Direction=H","UseDPDF=Y")</f>
        <v>14.599</v>
      </c>
      <c r="D62" s="29">
        <f>_xll.BDH("ALGEV FP Equity","OTHER_NONCUR_LIABS_SUB_DETAILED","FY 2011","FY 2011","Currency=EUR","Period=FY","BEST_FPERIOD_OVERRIDE=FY","FILING_STATUS=MR","SCALING_FORMAT=MLN","Sort=A","Dates=H","DateFormat=P","Fill=—","Direction=H","UseDPDF=Y")</f>
        <v>15.827999999999999</v>
      </c>
      <c r="E62" s="29">
        <f>_xll.BDH("ALGEV FP Equity","OTHER_NONCUR_LIABS_SUB_DETAILED","FY 2012","FY 2012","Currency=EUR","Period=FY","BEST_FPERIOD_OVERRIDE=FY","FILING_STATUS=MR","SCALING_FORMAT=MLN","Sort=A","Dates=H","DateFormat=P","Fill=—","Direction=H","UseDPDF=Y")</f>
        <v>7.52</v>
      </c>
      <c r="F62" s="29">
        <f>_xll.BDH("ALGEV FP Equity","OTHER_NONCUR_LIABS_SUB_DETAILED","FY 2013","FY 2013","Currency=EUR","Period=FY","BEST_FPERIOD_OVERRIDE=FY","FILING_STATUS=MR","SCALING_FORMAT=MLN","Sort=A","Dates=H","DateFormat=P","Fill=—","Direction=H","UseDPDF=Y")</f>
        <v>9.0879999999999992</v>
      </c>
      <c r="G62" s="29">
        <f>_xll.BDH("ALGEV FP Equity","OTHER_NONCUR_LIABS_SUB_DETAILED","FY 2014","FY 2014","Currency=EUR","Period=FY","BEST_FPERIOD_OVERRIDE=FY","FILING_STATUS=MR","SCALING_FORMAT=MLN","Sort=A","Dates=H","DateFormat=P","Fill=—","Direction=H","UseDPDF=Y")</f>
        <v>10.039999999999999</v>
      </c>
      <c r="H62" s="29">
        <f>_xll.BDH("ALGEV FP Equity","OTHER_NONCUR_LIABS_SUB_DETAILED","FY 2015","FY 2015","Currency=EUR","Period=FY","BEST_FPERIOD_OVERRIDE=FY","FILING_STATUS=MR","SCALING_FORMAT=MLN","Sort=A","Dates=H","DateFormat=P","Fill=—","Direction=H","UseDPDF=Y")</f>
        <v>11.845000000000001</v>
      </c>
      <c r="I62" s="29">
        <f>_xll.BDH("ALGEV FP Equity","OTHER_NONCUR_LIABS_SUB_DETAILED","FY 2016","FY 2016","Currency=EUR","Period=FY","BEST_FPERIOD_OVERRIDE=FY","FILING_STATUS=MR","SCALING_FORMAT=MLN","Sort=A","Dates=H","DateFormat=P","Fill=—","Direction=H","UseDPDF=Y")</f>
        <v>10.028</v>
      </c>
      <c r="J62" s="29">
        <f>_xll.BDH("ALGEV FP Equity","OTHER_NONCUR_LIABS_SUB_DETAILED","FY 2017","FY 2017","Currency=EUR","Period=FY","BEST_FPERIOD_OVERRIDE=FY","FILING_STATUS=MR","SCALING_FORMAT=MLN","Sort=A","Dates=H","DateFormat=P","Fill=—","Direction=H","UseDPDF=Y")</f>
        <v>4.5129999999999999</v>
      </c>
      <c r="K62" s="29">
        <f>_xll.BDH("ALGEV FP Equity","OTHER_NONCUR_LIABS_SUB_DETAILED","FY 2018","FY 2018","Currency=EUR","Period=FY","BEST_FPERIOD_OVERRIDE=FY","FILING_STATUS=MR","SCALING_FORMAT=MLN","Sort=A","Dates=H","DateFormat=P","Fill=—","Direction=H","UseDPDF=Y")</f>
        <v>4.3490000000000002</v>
      </c>
      <c r="L62" s="29">
        <f>_xll.BDH("ALGEV FP Equity","OTHER_NONCUR_LIABS_SUB_DETAILED","FY 2019","FY 2019","Currency=EUR","Period=FY","BEST_FPERIOD_OVERRIDE=FY","FILING_STATUS=MR","SCALING_FORMAT=MLN","Sort=A","Dates=H","DateFormat=P","Fill=—","Direction=H","UseDPDF=Y")</f>
        <v>10.223000000000001</v>
      </c>
    </row>
    <row r="63" spans="1:12" x14ac:dyDescent="0.25">
      <c r="A63" s="26" t="s">
        <v>131</v>
      </c>
      <c r="B63" s="26" t="s">
        <v>132</v>
      </c>
      <c r="C63" s="29" t="str">
        <f>_xll.BDH("ALGEV FP Equity","BS_ACCRUED_LIABILITIES","FY 2010","FY 2010","Currency=EUR","Period=FY","BEST_FPERIOD_OVERRIDE=FY","FILING_STATUS=MR","SCALING_FORMAT=MLN","Sort=A","Dates=H","DateFormat=P","Fill=—","Direction=H","UseDPDF=Y")</f>
        <v>—</v>
      </c>
      <c r="D63" s="29" t="str">
        <f>_xll.BDH("ALGEV FP Equity","BS_ACCRUED_LIABILITIES","FY 2011","FY 2011","Currency=EUR","Period=FY","BEST_FPERIOD_OVERRIDE=FY","FILING_STATUS=MR","SCALING_FORMAT=MLN","Sort=A","Dates=H","DateFormat=P","Fill=—","Direction=H","UseDPDF=Y")</f>
        <v>—</v>
      </c>
      <c r="E63" s="29" t="str">
        <f>_xll.BDH("ALGEV FP Equity","BS_ACCRUED_LIABILITIES","FY 2012","FY 2012","Currency=EUR","Period=FY","BEST_FPERIOD_OVERRIDE=FY","FILING_STATUS=MR","SCALING_FORMAT=MLN","Sort=A","Dates=H","DateFormat=P","Fill=—","Direction=H","UseDPDF=Y")</f>
        <v>—</v>
      </c>
      <c r="F63" s="29" t="str">
        <f>_xll.BDH("ALGEV FP Equity","BS_ACCRUED_LIABILITIES","FY 2013","FY 2013","Currency=EUR","Period=FY","BEST_FPERIOD_OVERRIDE=FY","FILING_STATUS=MR","SCALING_FORMAT=MLN","Sort=A","Dates=H","DateFormat=P","Fill=—","Direction=H","UseDPDF=Y")</f>
        <v>—</v>
      </c>
      <c r="G63" s="29" t="str">
        <f>_xll.BDH("ALGEV FP Equity","BS_ACCRUED_LIABILITIES","FY 2014","FY 2014","Currency=EUR","Period=FY","BEST_FPERIOD_OVERRIDE=FY","FILING_STATUS=MR","SCALING_FORMAT=MLN","Sort=A","Dates=H","DateFormat=P","Fill=—","Direction=H","UseDPDF=Y")</f>
        <v>—</v>
      </c>
      <c r="H63" s="29" t="str">
        <f>_xll.BDH("ALGEV FP Equity","BS_ACCRUED_LIABILITIES","FY 2015","FY 2015","Currency=EUR","Period=FY","BEST_FPERIOD_OVERRIDE=FY","FILING_STATUS=MR","SCALING_FORMAT=MLN","Sort=A","Dates=H","DateFormat=P","Fill=—","Direction=H","UseDPDF=Y")</f>
        <v>—</v>
      </c>
      <c r="I63" s="29">
        <f>_xll.BDH("ALGEV FP Equity","BS_ACCRUED_LIABILITIES","FY 2016","FY 2016","Currency=EUR","Period=FY","BEST_FPERIOD_OVERRIDE=FY","FILING_STATUS=MR","SCALING_FORMAT=MLN","Sort=A","Dates=H","DateFormat=P","Fill=—","Direction=H","UseDPDF=Y")</f>
        <v>0</v>
      </c>
      <c r="J63" s="29">
        <f>_xll.BDH("ALGEV FP Equity","BS_ACCRUED_LIABILITIES","FY 2017","FY 2017","Currency=EUR","Period=FY","BEST_FPERIOD_OVERRIDE=FY","FILING_STATUS=MR","SCALING_FORMAT=MLN","Sort=A","Dates=H","DateFormat=P","Fill=—","Direction=H","UseDPDF=Y")</f>
        <v>0</v>
      </c>
      <c r="K63" s="29">
        <f>_xll.BDH("ALGEV FP Equity","BS_ACCRUED_LIABILITIES","FY 2018","FY 2018","Currency=EUR","Period=FY","BEST_FPERIOD_OVERRIDE=FY","FILING_STATUS=MR","SCALING_FORMAT=MLN","Sort=A","Dates=H","DateFormat=P","Fill=—","Direction=H","UseDPDF=Y")</f>
        <v>0</v>
      </c>
      <c r="L63" s="29">
        <f>_xll.BDH("ALGEV FP Equity","BS_ACCRUED_LIABILITIES","FY 2019","FY 2019","Currency=EUR","Period=FY","BEST_FPERIOD_OVERRIDE=FY","FILING_STATUS=MR","SCALING_FORMAT=MLN","Sort=A","Dates=H","DateFormat=P","Fill=—","Direction=H","UseDPDF=Y")</f>
        <v>0</v>
      </c>
    </row>
    <row r="64" spans="1:12" x14ac:dyDescent="0.25">
      <c r="A64" s="26" t="s">
        <v>133</v>
      </c>
      <c r="B64" s="26" t="s">
        <v>134</v>
      </c>
      <c r="C64" s="29" t="str">
        <f>_xll.BDH("ALGEV FP Equity","PENSION_LIABILITIES","FY 2010","FY 2010","Currency=EUR","Period=FY","BEST_FPERIOD_OVERRIDE=FY","FILING_STATUS=MR","SCALING_FORMAT=MLN","Sort=A","Dates=H","DateFormat=P","Fill=—","Direction=H","UseDPDF=Y")</f>
        <v>—</v>
      </c>
      <c r="D64" s="29" t="str">
        <f>_xll.BDH("ALGEV FP Equity","PENSION_LIABILITIES","FY 2011","FY 2011","Currency=EUR","Period=FY","BEST_FPERIOD_OVERRIDE=FY","FILING_STATUS=MR","SCALING_FORMAT=MLN","Sort=A","Dates=H","DateFormat=P","Fill=—","Direction=H","UseDPDF=Y")</f>
        <v>—</v>
      </c>
      <c r="E64" s="29" t="str">
        <f>_xll.BDH("ALGEV FP Equity","PENSION_LIABILITIES","FY 2012","FY 2012","Currency=EUR","Period=FY","BEST_FPERIOD_OVERRIDE=FY","FILING_STATUS=MR","SCALING_FORMAT=MLN","Sort=A","Dates=H","DateFormat=P","Fill=—","Direction=H","UseDPDF=Y")</f>
        <v>—</v>
      </c>
      <c r="F64" s="29" t="str">
        <f>_xll.BDH("ALGEV FP Equity","PENSION_LIABILITIES","FY 2013","FY 2013","Currency=EUR","Period=FY","BEST_FPERIOD_OVERRIDE=FY","FILING_STATUS=MR","SCALING_FORMAT=MLN","Sort=A","Dates=H","DateFormat=P","Fill=—","Direction=H","UseDPDF=Y")</f>
        <v>—</v>
      </c>
      <c r="G64" s="29" t="str">
        <f>_xll.BDH("ALGEV FP Equity","PENSION_LIABILITIES","FY 2014","FY 2014","Currency=EUR","Period=FY","BEST_FPERIOD_OVERRIDE=FY","FILING_STATUS=MR","SCALING_FORMAT=MLN","Sort=A","Dates=H","DateFormat=P","Fill=—","Direction=H","UseDPDF=Y")</f>
        <v>—</v>
      </c>
      <c r="H64" s="29" t="str">
        <f>_xll.BDH("ALGEV FP Equity","PENSION_LIABILITIES","FY 2015","FY 2015","Currency=EUR","Period=FY","BEST_FPERIOD_OVERRIDE=FY","FILING_STATUS=MR","SCALING_FORMAT=MLN","Sort=A","Dates=H","DateFormat=P","Fill=—","Direction=H","UseDPDF=Y")</f>
        <v>—</v>
      </c>
      <c r="I64" s="29">
        <f>_xll.BDH("ALGEV FP Equity","PENSION_LIABILITIES","FY 2016","FY 2016","Currency=EUR","Period=FY","BEST_FPERIOD_OVERRIDE=FY","FILING_STATUS=MR","SCALING_FORMAT=MLN","Sort=A","Dates=H","DateFormat=P","Fill=—","Direction=H","UseDPDF=Y")</f>
        <v>9.4369999999999994</v>
      </c>
      <c r="J64" s="29">
        <f>_xll.BDH("ALGEV FP Equity","PENSION_LIABILITIES","FY 2017","FY 2017","Currency=EUR","Period=FY","BEST_FPERIOD_OVERRIDE=FY","FILING_STATUS=MR","SCALING_FORMAT=MLN","Sort=A","Dates=H","DateFormat=P","Fill=—","Direction=H","UseDPDF=Y")</f>
        <v>2.3370000000000002</v>
      </c>
      <c r="K64" s="29">
        <f>_xll.BDH("ALGEV FP Equity","PENSION_LIABILITIES","FY 2018","FY 2018","Currency=EUR","Period=FY","BEST_FPERIOD_OVERRIDE=FY","FILING_STATUS=MR","SCALING_FORMAT=MLN","Sort=A","Dates=H","DateFormat=P","Fill=—","Direction=H","UseDPDF=Y")</f>
        <v>2.2909999999999999</v>
      </c>
      <c r="L64" s="29">
        <f>_xll.BDH("ALGEV FP Equity","PENSION_LIABILITIES","FY 2019","FY 2019","Currency=EUR","Period=FY","BEST_FPERIOD_OVERRIDE=FY","FILING_STATUS=MR","SCALING_FORMAT=MLN","Sort=A","Dates=H","DateFormat=P","Fill=—","Direction=H","UseDPDF=Y")</f>
        <v>2.6029999999999998</v>
      </c>
    </row>
    <row r="65" spans="1:12" x14ac:dyDescent="0.25">
      <c r="A65" s="26" t="s">
        <v>113</v>
      </c>
      <c r="B65" s="26" t="s">
        <v>135</v>
      </c>
      <c r="C65" s="29" t="str">
        <f>_xll.BDH("ALGEV FP Equity","LT_DEFERRED_REVENUE","FY 2010","FY 2010","Currency=EUR","Period=FY","BEST_FPERIOD_OVERRIDE=FY","FILING_STATUS=MR","SCALING_FORMAT=MLN","Sort=A","Dates=H","DateFormat=P","Fill=—","Direction=H","UseDPDF=Y")</f>
        <v>—</v>
      </c>
      <c r="D65" s="29" t="str">
        <f>_xll.BDH("ALGEV FP Equity","LT_DEFERRED_REVENUE","FY 2011","FY 2011","Currency=EUR","Period=FY","BEST_FPERIOD_OVERRIDE=FY","FILING_STATUS=MR","SCALING_FORMAT=MLN","Sort=A","Dates=H","DateFormat=P","Fill=—","Direction=H","UseDPDF=Y")</f>
        <v>—</v>
      </c>
      <c r="E65" s="29" t="str">
        <f>_xll.BDH("ALGEV FP Equity","LT_DEFERRED_REVENUE","FY 2012","FY 2012","Currency=EUR","Period=FY","BEST_FPERIOD_OVERRIDE=FY","FILING_STATUS=MR","SCALING_FORMAT=MLN","Sort=A","Dates=H","DateFormat=P","Fill=—","Direction=H","UseDPDF=Y")</f>
        <v>—</v>
      </c>
      <c r="F65" s="29" t="str">
        <f>_xll.BDH("ALGEV FP Equity","LT_DEFERRED_REVENUE","FY 2013","FY 2013","Currency=EUR","Period=FY","BEST_FPERIOD_OVERRIDE=FY","FILING_STATUS=MR","SCALING_FORMAT=MLN","Sort=A","Dates=H","DateFormat=P","Fill=—","Direction=H","UseDPDF=Y")</f>
        <v>—</v>
      </c>
      <c r="G65" s="29" t="str">
        <f>_xll.BDH("ALGEV FP Equity","LT_DEFERRED_REVENUE","FY 2014","FY 2014","Currency=EUR","Period=FY","BEST_FPERIOD_OVERRIDE=FY","FILING_STATUS=MR","SCALING_FORMAT=MLN","Sort=A","Dates=H","DateFormat=P","Fill=—","Direction=H","UseDPDF=Y")</f>
        <v>—</v>
      </c>
      <c r="H65" s="29" t="str">
        <f>_xll.BDH("ALGEV FP Equity","LT_DEFERRED_REVENUE","FY 2015","FY 2015","Currency=EUR","Period=FY","BEST_FPERIOD_OVERRIDE=FY","FILING_STATUS=MR","SCALING_FORMAT=MLN","Sort=A","Dates=H","DateFormat=P","Fill=—","Direction=H","UseDPDF=Y")</f>
        <v>—</v>
      </c>
      <c r="I65" s="29">
        <f>_xll.BDH("ALGEV FP Equity","LT_DEFERRED_REVENUE","FY 2016","FY 2016","Currency=EUR","Period=FY","BEST_FPERIOD_OVERRIDE=FY","FILING_STATUS=MR","SCALING_FORMAT=MLN","Sort=A","Dates=H","DateFormat=P","Fill=—","Direction=H","UseDPDF=Y")</f>
        <v>0</v>
      </c>
      <c r="J65" s="29">
        <f>_xll.BDH("ALGEV FP Equity","LT_DEFERRED_REVENUE","FY 2017","FY 2017","Currency=EUR","Period=FY","BEST_FPERIOD_OVERRIDE=FY","FILING_STATUS=MR","SCALING_FORMAT=MLN","Sort=A","Dates=H","DateFormat=P","Fill=—","Direction=H","UseDPDF=Y")</f>
        <v>0</v>
      </c>
      <c r="K65" s="29">
        <f>_xll.BDH("ALGEV FP Equity","LT_DEFERRED_REVENUE","FY 2018","FY 2018","Currency=EUR","Period=FY","BEST_FPERIOD_OVERRIDE=FY","FILING_STATUS=MR","SCALING_FORMAT=MLN","Sort=A","Dates=H","DateFormat=P","Fill=—","Direction=H","UseDPDF=Y")</f>
        <v>0</v>
      </c>
      <c r="L65" s="29">
        <f>_xll.BDH("ALGEV FP Equity","LT_DEFERRED_REVENUE","FY 2019","FY 2019","Currency=EUR","Period=FY","BEST_FPERIOD_OVERRIDE=FY","FILING_STATUS=MR","SCALING_FORMAT=MLN","Sort=A","Dates=H","DateFormat=P","Fill=—","Direction=H","UseDPDF=Y")</f>
        <v>0</v>
      </c>
    </row>
    <row r="66" spans="1:12" x14ac:dyDescent="0.25">
      <c r="A66" s="26" t="s">
        <v>136</v>
      </c>
      <c r="B66" s="26" t="s">
        <v>137</v>
      </c>
      <c r="C66" s="29" t="str">
        <f>_xll.BDH("ALGEV FP Equity","BS_DEFERRED_TAX_LIABILITIES_LT","FY 2010","FY 2010","Currency=EUR","Period=FY","BEST_FPERIOD_OVERRIDE=FY","FILING_STATUS=MR","SCALING_FORMAT=MLN","Sort=A","Dates=H","DateFormat=P","Fill=—","Direction=H","UseDPDF=Y")</f>
        <v>—</v>
      </c>
      <c r="D66" s="29" t="str">
        <f>_xll.BDH("ALGEV FP Equity","BS_DEFERRED_TAX_LIABILITIES_LT","FY 2011","FY 2011","Currency=EUR","Period=FY","BEST_FPERIOD_OVERRIDE=FY","FILING_STATUS=MR","SCALING_FORMAT=MLN","Sort=A","Dates=H","DateFormat=P","Fill=—","Direction=H","UseDPDF=Y")</f>
        <v>—</v>
      </c>
      <c r="E66" s="29">
        <f>_xll.BDH("ALGEV FP Equity","BS_DEFERRED_TAX_LIABILITIES_LT","FY 2012","FY 2012","Currency=EUR","Period=FY","BEST_FPERIOD_OVERRIDE=FY","FILING_STATUS=MR","SCALING_FORMAT=MLN","Sort=A","Dates=H","DateFormat=P","Fill=—","Direction=H","UseDPDF=Y")</f>
        <v>2.8149999999999999</v>
      </c>
      <c r="F66" s="29">
        <f>_xll.BDH("ALGEV FP Equity","BS_DEFERRED_TAX_LIABILITIES_LT","FY 2013","FY 2013","Currency=EUR","Period=FY","BEST_FPERIOD_OVERRIDE=FY","FILING_STATUS=MR","SCALING_FORMAT=MLN","Sort=A","Dates=H","DateFormat=P","Fill=—","Direction=H","UseDPDF=Y")</f>
        <v>2.4390000000000001</v>
      </c>
      <c r="G66" s="29">
        <f>_xll.BDH("ALGEV FP Equity","BS_DEFERRED_TAX_LIABILITIES_LT","FY 2014","FY 2014","Currency=EUR","Period=FY","BEST_FPERIOD_OVERRIDE=FY","FILING_STATUS=MR","SCALING_FORMAT=MLN","Sort=A","Dates=H","DateFormat=P","Fill=—","Direction=H","UseDPDF=Y")</f>
        <v>1.175</v>
      </c>
      <c r="H66" s="29">
        <f>_xll.BDH("ALGEV FP Equity","BS_DEFERRED_TAX_LIABILITIES_LT","FY 2015","FY 2015","Currency=EUR","Period=FY","BEST_FPERIOD_OVERRIDE=FY","FILING_STATUS=MR","SCALING_FORMAT=MLN","Sort=A","Dates=H","DateFormat=P","Fill=—","Direction=H","UseDPDF=Y")</f>
        <v>3.1760000000000002</v>
      </c>
      <c r="I66" s="29">
        <f>_xll.BDH("ALGEV FP Equity","BS_DEFERRED_TAX_LIABILITIES_LT","FY 2016","FY 2016","Currency=EUR","Period=FY","BEST_FPERIOD_OVERRIDE=FY","FILING_STATUS=MR","SCALING_FORMAT=MLN","Sort=A","Dates=H","DateFormat=P","Fill=—","Direction=H","UseDPDF=Y")</f>
        <v>0</v>
      </c>
      <c r="J66" s="29">
        <f>_xll.BDH("ALGEV FP Equity","BS_DEFERRED_TAX_LIABILITIES_LT","FY 2017","FY 2017","Currency=EUR","Period=FY","BEST_FPERIOD_OVERRIDE=FY","FILING_STATUS=MR","SCALING_FORMAT=MLN","Sort=A","Dates=H","DateFormat=P","Fill=—","Direction=H","UseDPDF=Y")</f>
        <v>1.8159999999999998</v>
      </c>
      <c r="K66" s="29">
        <f>_xll.BDH("ALGEV FP Equity","BS_DEFERRED_TAX_LIABILITIES_LT","FY 2018","FY 2018","Currency=EUR","Period=FY","BEST_FPERIOD_OVERRIDE=FY","FILING_STATUS=MR","SCALING_FORMAT=MLN","Sort=A","Dates=H","DateFormat=P","Fill=—","Direction=H","UseDPDF=Y")</f>
        <v>1.714</v>
      </c>
      <c r="L66" s="29">
        <f>_xll.BDH("ALGEV FP Equity","BS_DEFERRED_TAX_LIABILITIES_LT","FY 2019","FY 2019","Currency=EUR","Period=FY","BEST_FPERIOD_OVERRIDE=FY","FILING_STATUS=MR","SCALING_FORMAT=MLN","Sort=A","Dates=H","DateFormat=P","Fill=—","Direction=H","UseDPDF=Y")</f>
        <v>1.6259999999999999</v>
      </c>
    </row>
    <row r="67" spans="1:12" x14ac:dyDescent="0.25">
      <c r="A67" s="26" t="s">
        <v>115</v>
      </c>
      <c r="B67" s="26" t="s">
        <v>138</v>
      </c>
      <c r="C67" s="29" t="str">
        <f>_xll.BDH("ALGEV FP Equity","BS_DERIVATIVE_&amp;_HEDGING_LIABS_LT","FY 2010","FY 2010","Currency=EUR","Period=FY","BEST_FPERIOD_OVERRIDE=FY","FILING_STATUS=MR","SCALING_FORMAT=MLN","Sort=A","Dates=H","DateFormat=P","Fill=—","Direction=H","UseDPDF=Y")</f>
        <v>—</v>
      </c>
      <c r="D67" s="29" t="str">
        <f>_xll.BDH("ALGEV FP Equity","BS_DERIVATIVE_&amp;_HEDGING_LIABS_LT","FY 2011","FY 2011","Currency=EUR","Period=FY","BEST_FPERIOD_OVERRIDE=FY","FILING_STATUS=MR","SCALING_FORMAT=MLN","Sort=A","Dates=H","DateFormat=P","Fill=—","Direction=H","UseDPDF=Y")</f>
        <v>—</v>
      </c>
      <c r="E67" s="29" t="str">
        <f>_xll.BDH("ALGEV FP Equity","BS_DERIVATIVE_&amp;_HEDGING_LIABS_LT","FY 2012","FY 2012","Currency=EUR","Period=FY","BEST_FPERIOD_OVERRIDE=FY","FILING_STATUS=MR","SCALING_FORMAT=MLN","Sort=A","Dates=H","DateFormat=P","Fill=—","Direction=H","UseDPDF=Y")</f>
        <v>—</v>
      </c>
      <c r="F67" s="29" t="str">
        <f>_xll.BDH("ALGEV FP Equity","BS_DERIVATIVE_&amp;_HEDGING_LIABS_LT","FY 2013","FY 2013","Currency=EUR","Period=FY","BEST_FPERIOD_OVERRIDE=FY","FILING_STATUS=MR","SCALING_FORMAT=MLN","Sort=A","Dates=H","DateFormat=P","Fill=—","Direction=H","UseDPDF=Y")</f>
        <v>—</v>
      </c>
      <c r="G67" s="29" t="str">
        <f>_xll.BDH("ALGEV FP Equity","BS_DERIVATIVE_&amp;_HEDGING_LIABS_LT","FY 2014","FY 2014","Currency=EUR","Period=FY","BEST_FPERIOD_OVERRIDE=FY","FILING_STATUS=MR","SCALING_FORMAT=MLN","Sort=A","Dates=H","DateFormat=P","Fill=—","Direction=H","UseDPDF=Y")</f>
        <v>—</v>
      </c>
      <c r="H67" s="29" t="str">
        <f>_xll.BDH("ALGEV FP Equity","BS_DERIVATIVE_&amp;_HEDGING_LIABS_LT","FY 2015","FY 2015","Currency=EUR","Period=FY","BEST_FPERIOD_OVERRIDE=FY","FILING_STATUS=MR","SCALING_FORMAT=MLN","Sort=A","Dates=H","DateFormat=P","Fill=—","Direction=H","UseDPDF=Y")</f>
        <v>—</v>
      </c>
      <c r="I67" s="29">
        <f>_xll.BDH("ALGEV FP Equity","BS_DERIVATIVE_&amp;_HEDGING_LIABS_LT","FY 2016","FY 2016","Currency=EUR","Period=FY","BEST_FPERIOD_OVERRIDE=FY","FILING_STATUS=MR","SCALING_FORMAT=MLN","Sort=A","Dates=H","DateFormat=P","Fill=—","Direction=H","UseDPDF=Y")</f>
        <v>0</v>
      </c>
      <c r="J67" s="29">
        <f>_xll.BDH("ALGEV FP Equity","BS_DERIVATIVE_&amp;_HEDGING_LIABS_LT","FY 2017","FY 2017","Currency=EUR","Period=FY","BEST_FPERIOD_OVERRIDE=FY","FILING_STATUS=MR","SCALING_FORMAT=MLN","Sort=A","Dates=H","DateFormat=P","Fill=—","Direction=H","UseDPDF=Y")</f>
        <v>0</v>
      </c>
      <c r="K67" s="29">
        <f>_xll.BDH("ALGEV FP Equity","BS_DERIVATIVE_&amp;_HEDGING_LIABS_LT","FY 2018","FY 2018","Currency=EUR","Period=FY","BEST_FPERIOD_OVERRIDE=FY","FILING_STATUS=MR","SCALING_FORMAT=MLN","Sort=A","Dates=H","DateFormat=P","Fill=—","Direction=H","UseDPDF=Y")</f>
        <v>0</v>
      </c>
      <c r="L67" s="29">
        <f>_xll.BDH("ALGEV FP Equity","BS_DERIVATIVE_&amp;_HEDGING_LIABS_LT","FY 2019","FY 2019","Currency=EUR","Period=FY","BEST_FPERIOD_OVERRIDE=FY","FILING_STATUS=MR","SCALING_FORMAT=MLN","Sort=A","Dates=H","DateFormat=P","Fill=—","Direction=H","UseDPDF=Y")</f>
        <v>0</v>
      </c>
    </row>
    <row r="68" spans="1:12" x14ac:dyDescent="0.25">
      <c r="A68" s="26" t="s">
        <v>139</v>
      </c>
      <c r="B68" s="26" t="s">
        <v>140</v>
      </c>
      <c r="C68" s="29">
        <f>_xll.BDH("ALGEV FP Equity","OTHER_NONCURRENT_LIABS_DETAILED","FY 2010","FY 2010","Currency=EUR","Period=FY","BEST_FPERIOD_OVERRIDE=FY","FILING_STATUS=MR","SCALING_FORMAT=MLN","Sort=A","Dates=H","DateFormat=P","Fill=—","Direction=H","UseDPDF=Y")</f>
        <v>14.599</v>
      </c>
      <c r="D68" s="29">
        <f>_xll.BDH("ALGEV FP Equity","OTHER_NONCURRENT_LIABS_DETAILED","FY 2011","FY 2011","Currency=EUR","Period=FY","BEST_FPERIOD_OVERRIDE=FY","FILING_STATUS=MR","SCALING_FORMAT=MLN","Sort=A","Dates=H","DateFormat=P","Fill=—","Direction=H","UseDPDF=Y")</f>
        <v>15.827999999999999</v>
      </c>
      <c r="E68" s="29">
        <f>_xll.BDH("ALGEV FP Equity","OTHER_NONCURRENT_LIABS_DETAILED","FY 2012","FY 2012","Currency=EUR","Period=FY","BEST_FPERIOD_OVERRIDE=FY","FILING_STATUS=MR","SCALING_FORMAT=MLN","Sort=A","Dates=H","DateFormat=P","Fill=—","Direction=H","UseDPDF=Y")</f>
        <v>4.7050000000000001</v>
      </c>
      <c r="F68" s="29">
        <f>_xll.BDH("ALGEV FP Equity","OTHER_NONCURRENT_LIABS_DETAILED","FY 2013","FY 2013","Currency=EUR","Period=FY","BEST_FPERIOD_OVERRIDE=FY","FILING_STATUS=MR","SCALING_FORMAT=MLN","Sort=A","Dates=H","DateFormat=P","Fill=—","Direction=H","UseDPDF=Y")</f>
        <v>6.649</v>
      </c>
      <c r="G68" s="29">
        <f>_xll.BDH("ALGEV FP Equity","OTHER_NONCURRENT_LIABS_DETAILED","FY 2014","FY 2014","Currency=EUR","Period=FY","BEST_FPERIOD_OVERRIDE=FY","FILING_STATUS=MR","SCALING_FORMAT=MLN","Sort=A","Dates=H","DateFormat=P","Fill=—","Direction=H","UseDPDF=Y")</f>
        <v>8.8650000000000002</v>
      </c>
      <c r="H68" s="29">
        <f>_xll.BDH("ALGEV FP Equity","OTHER_NONCURRENT_LIABS_DETAILED","FY 2015","FY 2015","Currency=EUR","Period=FY","BEST_FPERIOD_OVERRIDE=FY","FILING_STATUS=MR","SCALING_FORMAT=MLN","Sort=A","Dates=H","DateFormat=P","Fill=—","Direction=H","UseDPDF=Y")</f>
        <v>8.6690000000000005</v>
      </c>
      <c r="I68" s="29">
        <f>_xll.BDH("ALGEV FP Equity","OTHER_NONCURRENT_LIABS_DETAILED","FY 2016","FY 2016","Currency=EUR","Period=FY","BEST_FPERIOD_OVERRIDE=FY","FILING_STATUS=MR","SCALING_FORMAT=MLN","Sort=A","Dates=H","DateFormat=P","Fill=—","Direction=H","UseDPDF=Y")</f>
        <v>0.59099999999999997</v>
      </c>
      <c r="J68" s="29">
        <f>_xll.BDH("ALGEV FP Equity","OTHER_NONCURRENT_LIABS_DETAILED","FY 2017","FY 2017","Currency=EUR","Period=FY","BEST_FPERIOD_OVERRIDE=FY","FILING_STATUS=MR","SCALING_FORMAT=MLN","Sort=A","Dates=H","DateFormat=P","Fill=—","Direction=H","UseDPDF=Y")</f>
        <v>0.36</v>
      </c>
      <c r="K68" s="29">
        <f>_xll.BDH("ALGEV FP Equity","OTHER_NONCURRENT_LIABS_DETAILED","FY 2018","FY 2018","Currency=EUR","Period=FY","BEST_FPERIOD_OVERRIDE=FY","FILING_STATUS=MR","SCALING_FORMAT=MLN","Sort=A","Dates=H","DateFormat=P","Fill=—","Direction=H","UseDPDF=Y")</f>
        <v>0.34399999999999997</v>
      </c>
      <c r="L68" s="29">
        <f>_xll.BDH("ALGEV FP Equity","OTHER_NONCURRENT_LIABS_DETAILED","FY 2019","FY 2019","Currency=EUR","Period=FY","BEST_FPERIOD_OVERRIDE=FY","FILING_STATUS=MR","SCALING_FORMAT=MLN","Sort=A","Dates=H","DateFormat=P","Fill=—","Direction=H","UseDPDF=Y")</f>
        <v>5.9939999999999998</v>
      </c>
    </row>
    <row r="69" spans="1:12" x14ac:dyDescent="0.25">
      <c r="A69" s="22" t="s">
        <v>141</v>
      </c>
      <c r="B69" s="22" t="s">
        <v>142</v>
      </c>
      <c r="C69" s="32">
        <f>_xll.BDH("ALGEV FP Equity","NON_CUR_LIAB","FY 2010","FY 2010","Currency=EUR","Period=FY","BEST_FPERIOD_OVERRIDE=FY","FILING_STATUS=MR","SCALING_FORMAT=MLN","Sort=A","Dates=H","DateFormat=P","Fill=—","Direction=H","UseDPDF=Y")</f>
        <v>24.407</v>
      </c>
      <c r="D69" s="32">
        <f>_xll.BDH("ALGEV FP Equity","NON_CUR_LIAB","FY 2011","FY 2011","Currency=EUR","Period=FY","BEST_FPERIOD_OVERRIDE=FY","FILING_STATUS=MR","SCALING_FORMAT=MLN","Sort=A","Dates=H","DateFormat=P","Fill=—","Direction=H","UseDPDF=Y")</f>
        <v>21.989000000000001</v>
      </c>
      <c r="E69" s="32">
        <f>_xll.BDH("ALGEV FP Equity","NON_CUR_LIAB","FY 2012","FY 2012","Currency=EUR","Period=FY","BEST_FPERIOD_OVERRIDE=FY","FILING_STATUS=MR","SCALING_FORMAT=MLN","Sort=A","Dates=H","DateFormat=P","Fill=—","Direction=H","UseDPDF=Y")</f>
        <v>15.396000000000001</v>
      </c>
      <c r="F69" s="32">
        <f>_xll.BDH("ALGEV FP Equity","NON_CUR_LIAB","FY 2013","FY 2013","Currency=EUR","Period=FY","BEST_FPERIOD_OVERRIDE=FY","FILING_STATUS=MR","SCALING_FORMAT=MLN","Sort=A","Dates=H","DateFormat=P","Fill=—","Direction=H","UseDPDF=Y")</f>
        <v>23.655999999999999</v>
      </c>
      <c r="G69" s="32">
        <f>_xll.BDH("ALGEV FP Equity","NON_CUR_LIAB","FY 2014","FY 2014","Currency=EUR","Period=FY","BEST_FPERIOD_OVERRIDE=FY","FILING_STATUS=MR","SCALING_FORMAT=MLN","Sort=A","Dates=H","DateFormat=P","Fill=—","Direction=H","UseDPDF=Y")</f>
        <v>27.887</v>
      </c>
      <c r="H69" s="32">
        <f>_xll.BDH("ALGEV FP Equity","NON_CUR_LIAB","FY 2015","FY 2015","Currency=EUR","Period=FY","BEST_FPERIOD_OVERRIDE=FY","FILING_STATUS=MR","SCALING_FORMAT=MLN","Sort=A","Dates=H","DateFormat=P","Fill=—","Direction=H","UseDPDF=Y")</f>
        <v>28.318000000000001</v>
      </c>
      <c r="I69" s="32">
        <f>_xll.BDH("ALGEV FP Equity","NON_CUR_LIAB","FY 2016","FY 2016","Currency=EUR","Period=FY","BEST_FPERIOD_OVERRIDE=FY","FILING_STATUS=MR","SCALING_FORMAT=MLN","Sort=A","Dates=H","DateFormat=P","Fill=—","Direction=H","UseDPDF=Y")</f>
        <v>31.974</v>
      </c>
      <c r="J69" s="32">
        <f>_xll.BDH("ALGEV FP Equity","NON_CUR_LIAB","FY 2017","FY 2017","Currency=EUR","Period=FY","BEST_FPERIOD_OVERRIDE=FY","FILING_STATUS=MR","SCALING_FORMAT=MLN","Sort=A","Dates=H","DateFormat=P","Fill=—","Direction=H","UseDPDF=Y")</f>
        <v>14.396000000000001</v>
      </c>
      <c r="K69" s="32">
        <f>_xll.BDH("ALGEV FP Equity","NON_CUR_LIAB","FY 2018","FY 2018","Currency=EUR","Period=FY","BEST_FPERIOD_OVERRIDE=FY","FILING_STATUS=MR","SCALING_FORMAT=MLN","Sort=A","Dates=H","DateFormat=P","Fill=—","Direction=H","UseDPDF=Y")</f>
        <v>11.603</v>
      </c>
      <c r="L69" s="32">
        <f>_xll.BDH("ALGEV FP Equity","NON_CUR_LIAB","FY 2019","FY 2019","Currency=EUR","Period=FY","BEST_FPERIOD_OVERRIDE=FY","FILING_STATUS=MR","SCALING_FORMAT=MLN","Sort=A","Dates=H","DateFormat=P","Fill=—","Direction=H","UseDPDF=Y")</f>
        <v>17.931000000000001</v>
      </c>
    </row>
    <row r="70" spans="1:12" x14ac:dyDescent="0.25">
      <c r="A70" s="22" t="s">
        <v>143</v>
      </c>
      <c r="B70" s="22" t="s">
        <v>144</v>
      </c>
      <c r="C70" s="32">
        <f>_xll.BDH("ALGEV FP Equity","BS_TOT_LIAB2","FY 2010","FY 2010","Currency=EUR","Period=FY","BEST_FPERIOD_OVERRIDE=FY","FILING_STATUS=MR","SCALING_FORMAT=MLN","Sort=A","Dates=H","DateFormat=P","Fill=—","Direction=H","UseDPDF=Y")</f>
        <v>79.468999999999994</v>
      </c>
      <c r="D70" s="32">
        <f>_xll.BDH("ALGEV FP Equity","BS_TOT_LIAB2","FY 2011","FY 2011","Currency=EUR","Period=FY","BEST_FPERIOD_OVERRIDE=FY","FILING_STATUS=MR","SCALING_FORMAT=MLN","Sort=A","Dates=H","DateFormat=P","Fill=—","Direction=H","UseDPDF=Y")</f>
        <v>83.753</v>
      </c>
      <c r="E70" s="32">
        <f>_xll.BDH("ALGEV FP Equity","BS_TOT_LIAB2","FY 2012","FY 2012","Currency=EUR","Period=FY","BEST_FPERIOD_OVERRIDE=FY","FILING_STATUS=MR","SCALING_FORMAT=MLN","Sort=A","Dates=H","DateFormat=P","Fill=—","Direction=H","UseDPDF=Y")</f>
        <v>71.513000000000005</v>
      </c>
      <c r="F70" s="32">
        <f>_xll.BDH("ALGEV FP Equity","BS_TOT_LIAB2","FY 2013","FY 2013","Currency=EUR","Period=FY","BEST_FPERIOD_OVERRIDE=FY","FILING_STATUS=MR","SCALING_FORMAT=MLN","Sort=A","Dates=H","DateFormat=P","Fill=—","Direction=H","UseDPDF=Y")</f>
        <v>90.082999999999998</v>
      </c>
      <c r="G70" s="32">
        <f>_xll.BDH("ALGEV FP Equity","BS_TOT_LIAB2","FY 2014","FY 2014","Currency=EUR","Period=FY","BEST_FPERIOD_OVERRIDE=FY","FILING_STATUS=MR","SCALING_FORMAT=MLN","Sort=A","Dates=H","DateFormat=P","Fill=—","Direction=H","UseDPDF=Y")</f>
        <v>141.285</v>
      </c>
      <c r="H70" s="32">
        <f>_xll.BDH("ALGEV FP Equity","BS_TOT_LIAB2","FY 2015","FY 2015","Currency=EUR","Period=FY","BEST_FPERIOD_OVERRIDE=FY","FILING_STATUS=MR","SCALING_FORMAT=MLN","Sort=A","Dates=H","DateFormat=P","Fill=—","Direction=H","UseDPDF=Y")</f>
        <v>138.696</v>
      </c>
      <c r="I70" s="32">
        <f>_xll.BDH("ALGEV FP Equity","BS_TOT_LIAB2","FY 2016","FY 2016","Currency=EUR","Period=FY","BEST_FPERIOD_OVERRIDE=FY","FILING_STATUS=MR","SCALING_FORMAT=MLN","Sort=A","Dates=H","DateFormat=P","Fill=—","Direction=H","UseDPDF=Y")</f>
        <v>152.46199999999999</v>
      </c>
      <c r="J70" s="32">
        <f>_xll.BDH("ALGEV FP Equity","BS_TOT_LIAB2","FY 2017","FY 2017","Currency=EUR","Period=FY","BEST_FPERIOD_OVERRIDE=FY","FILING_STATUS=MR","SCALING_FORMAT=MLN","Sort=A","Dates=H","DateFormat=P","Fill=—","Direction=H","UseDPDF=Y")</f>
        <v>93.99</v>
      </c>
      <c r="K70" s="32">
        <f>_xll.BDH("ALGEV FP Equity","BS_TOT_LIAB2","FY 2018","FY 2018","Currency=EUR","Period=FY","BEST_FPERIOD_OVERRIDE=FY","FILING_STATUS=MR","SCALING_FORMAT=MLN","Sort=A","Dates=H","DateFormat=P","Fill=—","Direction=H","UseDPDF=Y")</f>
        <v>88.753</v>
      </c>
      <c r="L70" s="32">
        <f>_xll.BDH("ALGEV FP Equity","BS_TOT_LIAB2","FY 2019","FY 2019","Currency=EUR","Period=FY","BEST_FPERIOD_OVERRIDE=FY","FILING_STATUS=MR","SCALING_FORMAT=MLN","Sort=A","Dates=H","DateFormat=P","Fill=—","Direction=H","UseDPDF=Y")</f>
        <v>97.141999999999996</v>
      </c>
    </row>
    <row r="71" spans="1:12" x14ac:dyDescent="0.25">
      <c r="A71" s="26" t="s">
        <v>145</v>
      </c>
      <c r="B71" s="26" t="s">
        <v>146</v>
      </c>
      <c r="C71" s="29">
        <f>_xll.BDH("ALGEV FP Equity","BS_PFD_EQTY_&amp;_HYBRID_CPTL","FY 2010","FY 2010","Currency=EUR","Period=FY","BEST_FPERIOD_OVERRIDE=FY","FILING_STATUS=MR","SCALING_FORMAT=MLN","Sort=A","Dates=H","DateFormat=P","Fill=—","Direction=H","UseDPDF=Y")</f>
        <v>0</v>
      </c>
      <c r="D71" s="29">
        <f>_xll.BDH("ALGEV FP Equity","BS_PFD_EQTY_&amp;_HYBRID_CPTL","FY 2011","FY 2011","Currency=EUR","Period=FY","BEST_FPERIOD_OVERRIDE=FY","FILING_STATUS=MR","SCALING_FORMAT=MLN","Sort=A","Dates=H","DateFormat=P","Fill=—","Direction=H","UseDPDF=Y")</f>
        <v>0</v>
      </c>
      <c r="E71" s="29">
        <f>_xll.BDH("ALGEV FP Equity","BS_PFD_EQTY_&amp;_HYBRID_CPTL","FY 2012","FY 2012","Currency=EUR","Period=FY","BEST_FPERIOD_OVERRIDE=FY","FILING_STATUS=MR","SCALING_FORMAT=MLN","Sort=A","Dates=H","DateFormat=P","Fill=—","Direction=H","UseDPDF=Y")</f>
        <v>0</v>
      </c>
      <c r="F71" s="29">
        <f>_xll.BDH("ALGEV FP Equity","BS_PFD_EQTY_&amp;_HYBRID_CPTL","FY 2013","FY 2013","Currency=EUR","Period=FY","BEST_FPERIOD_OVERRIDE=FY","FILING_STATUS=MR","SCALING_FORMAT=MLN","Sort=A","Dates=H","DateFormat=P","Fill=—","Direction=H","UseDPDF=Y")</f>
        <v>0</v>
      </c>
      <c r="G71" s="29">
        <f>_xll.BDH("ALGEV FP Equity","BS_PFD_EQTY_&amp;_HYBRID_CPTL","FY 2014","FY 2014","Currency=EUR","Period=FY","BEST_FPERIOD_OVERRIDE=FY","FILING_STATUS=MR","SCALING_FORMAT=MLN","Sort=A","Dates=H","DateFormat=P","Fill=—","Direction=H","UseDPDF=Y")</f>
        <v>0</v>
      </c>
      <c r="H71" s="29">
        <f>_xll.BDH("ALGEV FP Equity","BS_PFD_EQTY_&amp;_HYBRID_CPTL","FY 2015","FY 2015","Currency=EUR","Period=FY","BEST_FPERIOD_OVERRIDE=FY","FILING_STATUS=MR","SCALING_FORMAT=MLN","Sort=A","Dates=H","DateFormat=P","Fill=—","Direction=H","UseDPDF=Y")</f>
        <v>0</v>
      </c>
      <c r="I71" s="29">
        <f>_xll.BDH("ALGEV FP Equity","BS_PFD_EQTY_&amp;_HYBRID_CPTL","FY 2016","FY 2016","Currency=EUR","Period=FY","BEST_FPERIOD_OVERRIDE=FY","FILING_STATUS=MR","SCALING_FORMAT=MLN","Sort=A","Dates=H","DateFormat=P","Fill=—","Direction=H","UseDPDF=Y")</f>
        <v>0</v>
      </c>
      <c r="J71" s="29">
        <f>_xll.BDH("ALGEV FP Equity","BS_PFD_EQTY_&amp;_HYBRID_CPTL","FY 2017","FY 2017","Currency=EUR","Period=FY","BEST_FPERIOD_OVERRIDE=FY","FILING_STATUS=MR","SCALING_FORMAT=MLN","Sort=A","Dates=H","DateFormat=P","Fill=—","Direction=H","UseDPDF=Y")</f>
        <v>0</v>
      </c>
      <c r="K71" s="29">
        <f>_xll.BDH("ALGEV FP Equity","BS_PFD_EQTY_&amp;_HYBRID_CPTL","FY 2018","FY 2018","Currency=EUR","Period=FY","BEST_FPERIOD_OVERRIDE=FY","FILING_STATUS=MR","SCALING_FORMAT=MLN","Sort=A","Dates=H","DateFormat=P","Fill=—","Direction=H","UseDPDF=Y")</f>
        <v>0</v>
      </c>
      <c r="L71" s="29">
        <f>_xll.BDH("ALGEV FP Equity","BS_PFD_EQTY_&amp;_HYBRID_CPTL","FY 2019","FY 2019","Currency=EUR","Period=FY","BEST_FPERIOD_OVERRIDE=FY","FILING_STATUS=MR","SCALING_FORMAT=MLN","Sort=A","Dates=H","DateFormat=P","Fill=—","Direction=H","UseDPDF=Y")</f>
        <v>0</v>
      </c>
    </row>
    <row r="72" spans="1:12" x14ac:dyDescent="0.25">
      <c r="A72" s="26" t="s">
        <v>147</v>
      </c>
      <c r="B72" s="26" t="s">
        <v>148</v>
      </c>
      <c r="C72" s="29">
        <f>_xll.BDH("ALGEV FP Equity","BS_SH_CAP_AND_APIC","FY 2010","FY 2010","Currency=EUR","Period=FY","BEST_FPERIOD_OVERRIDE=FY","FILING_STATUS=MR","SCALING_FORMAT=MLN","Sort=A","Dates=H","DateFormat=P","Fill=—","Direction=H","UseDPDF=Y")</f>
        <v>33.514000000000003</v>
      </c>
      <c r="D72" s="29" t="str">
        <f>_xll.BDH("ALGEV FP Equity","BS_SH_CAP_AND_APIC","FY 2011","FY 2011","Currency=EUR","Period=FY","BEST_FPERIOD_OVERRIDE=FY","FILING_STATUS=MR","SCALING_FORMAT=MLN","Sort=A","Dates=H","DateFormat=P","Fill=—","Direction=H","UseDPDF=Y")</f>
        <v>—</v>
      </c>
      <c r="E72" s="29">
        <f>_xll.BDH("ALGEV FP Equity","BS_SH_CAP_AND_APIC","FY 2012","FY 2012","Currency=EUR","Period=FY","BEST_FPERIOD_OVERRIDE=FY","FILING_STATUS=MR","SCALING_FORMAT=MLN","Sort=A","Dates=H","DateFormat=P","Fill=—","Direction=H","UseDPDF=Y")</f>
        <v>31.838000000000001</v>
      </c>
      <c r="F72" s="29">
        <f>_xll.BDH("ALGEV FP Equity","BS_SH_CAP_AND_APIC","FY 2013","FY 2013","Currency=EUR","Period=FY","BEST_FPERIOD_OVERRIDE=FY","FILING_STATUS=MR","SCALING_FORMAT=MLN","Sort=A","Dates=H","DateFormat=P","Fill=—","Direction=H","UseDPDF=Y")</f>
        <v>31.838000000000001</v>
      </c>
      <c r="G72" s="29">
        <f>_xll.BDH("ALGEV FP Equity","BS_SH_CAP_AND_APIC","FY 2014","FY 2014","Currency=EUR","Period=FY","BEST_FPERIOD_OVERRIDE=FY","FILING_STATUS=MR","SCALING_FORMAT=MLN","Sort=A","Dates=H","DateFormat=P","Fill=—","Direction=H","UseDPDF=Y")</f>
        <v>31.838000000000001</v>
      </c>
      <c r="H72" s="29">
        <f>_xll.BDH("ALGEV FP Equity","BS_SH_CAP_AND_APIC","FY 2015","FY 2015","Currency=EUR","Period=FY","BEST_FPERIOD_OVERRIDE=FY","FILING_STATUS=MR","SCALING_FORMAT=MLN","Sort=A","Dates=H","DateFormat=P","Fill=—","Direction=H","UseDPDF=Y")</f>
        <v>31.262</v>
      </c>
      <c r="I72" s="29">
        <f>_xll.BDH("ALGEV FP Equity","BS_SH_CAP_AND_APIC","FY 2016","FY 2016","Currency=EUR","Period=FY","BEST_FPERIOD_OVERRIDE=FY","FILING_STATUS=MR","SCALING_FORMAT=MLN","Sort=A","Dates=H","DateFormat=P","Fill=—","Direction=H","UseDPDF=Y")</f>
        <v>31.262</v>
      </c>
      <c r="J72" s="29">
        <f>_xll.BDH("ALGEV FP Equity","BS_SH_CAP_AND_APIC","FY 2017","FY 2017","Currency=EUR","Period=FY","BEST_FPERIOD_OVERRIDE=FY","FILING_STATUS=MR","SCALING_FORMAT=MLN","Sort=A","Dates=H","DateFormat=P","Fill=—","Direction=H","UseDPDF=Y")</f>
        <v>28.718</v>
      </c>
      <c r="K72" s="29">
        <f>_xll.BDH("ALGEV FP Equity","BS_SH_CAP_AND_APIC","FY 2018","FY 2018","Currency=EUR","Period=FY","BEST_FPERIOD_OVERRIDE=FY","FILING_STATUS=MR","SCALING_FORMAT=MLN","Sort=A","Dates=H","DateFormat=P","Fill=—","Direction=H","UseDPDF=Y")</f>
        <v>26.933</v>
      </c>
      <c r="L72" s="29">
        <f>_xll.BDH("ALGEV FP Equity","BS_SH_CAP_AND_APIC","FY 2019","FY 2019","Currency=EUR","Period=FY","BEST_FPERIOD_OVERRIDE=FY","FILING_STATUS=MR","SCALING_FORMAT=MLN","Sort=A","Dates=H","DateFormat=P","Fill=—","Direction=H","UseDPDF=Y")</f>
        <v>26.933</v>
      </c>
    </row>
    <row r="73" spans="1:12" x14ac:dyDescent="0.25">
      <c r="A73" s="26" t="s">
        <v>149</v>
      </c>
      <c r="B73" s="26" t="s">
        <v>150</v>
      </c>
      <c r="C73" s="29">
        <f>_xll.BDH("ALGEV FP Equity","BS_AMT_OF_TSY_STOCK","FY 2010","FY 2010","Currency=EUR","Period=FY","BEST_FPERIOD_OVERRIDE=FY","FILING_STATUS=MR","SCALING_FORMAT=MLN","Sort=A","Dates=H","DateFormat=P","Fill=—","Direction=H","UseDPDF=Y")</f>
        <v>0.47399999999999998</v>
      </c>
      <c r="D73" s="29">
        <f>_xll.BDH("ALGEV FP Equity","BS_AMT_OF_TSY_STOCK","FY 2011","FY 2011","Currency=EUR","Period=FY","BEST_FPERIOD_OVERRIDE=FY","FILING_STATUS=MR","SCALING_FORMAT=MLN","Sort=A","Dates=H","DateFormat=P","Fill=—","Direction=H","UseDPDF=Y")</f>
        <v>0.151</v>
      </c>
      <c r="E73" s="29">
        <f>_xll.BDH("ALGEV FP Equity","BS_AMT_OF_TSY_STOCK","FY 2012","FY 2012","Currency=EUR","Period=FY","BEST_FPERIOD_OVERRIDE=FY","FILING_STATUS=MR","SCALING_FORMAT=MLN","Sort=A","Dates=H","DateFormat=P","Fill=—","Direction=H","UseDPDF=Y")</f>
        <v>0</v>
      </c>
      <c r="F73" s="29">
        <f>_xll.BDH("ALGEV FP Equity","BS_AMT_OF_TSY_STOCK","FY 2013","FY 2013","Currency=EUR","Period=FY","BEST_FPERIOD_OVERRIDE=FY","FILING_STATUS=MR","SCALING_FORMAT=MLN","Sort=A","Dates=H","DateFormat=P","Fill=—","Direction=H","UseDPDF=Y")</f>
        <v>0.2</v>
      </c>
      <c r="G73" s="29">
        <f>_xll.BDH("ALGEV FP Equity","BS_AMT_OF_TSY_STOCK","FY 2014","FY 2014","Currency=EUR","Period=FY","BEST_FPERIOD_OVERRIDE=FY","FILING_STATUS=MR","SCALING_FORMAT=MLN","Sort=A","Dates=H","DateFormat=P","Fill=—","Direction=H","UseDPDF=Y")</f>
        <v>0.90700000000000003</v>
      </c>
      <c r="H73" s="29">
        <f>_xll.BDH("ALGEV FP Equity","BS_AMT_OF_TSY_STOCK","FY 2015","FY 2015","Currency=EUR","Period=FY","BEST_FPERIOD_OVERRIDE=FY","FILING_STATUS=MR","SCALING_FORMAT=MLN","Sort=A","Dates=H","DateFormat=P","Fill=—","Direction=H","UseDPDF=Y")</f>
        <v>10.308</v>
      </c>
      <c r="I73" s="29">
        <f>_xll.BDH("ALGEV FP Equity","BS_AMT_OF_TSY_STOCK","FY 2016","FY 2016","Currency=EUR","Period=FY","BEST_FPERIOD_OVERRIDE=FY","FILING_STATUS=MR","SCALING_FORMAT=MLN","Sort=A","Dates=H","DateFormat=P","Fill=—","Direction=H","UseDPDF=Y")</f>
        <v>10.308999999999999</v>
      </c>
      <c r="J73" s="29">
        <f>_xll.BDH("ALGEV FP Equity","BS_AMT_OF_TSY_STOCK","FY 2017","FY 2017","Currency=EUR","Period=FY","BEST_FPERIOD_OVERRIDE=FY","FILING_STATUS=MR","SCALING_FORMAT=MLN","Sort=A","Dates=H","DateFormat=P","Fill=—","Direction=H","UseDPDF=Y")</f>
        <v>0</v>
      </c>
      <c r="K73" s="29">
        <f>_xll.BDH("ALGEV FP Equity","BS_AMT_OF_TSY_STOCK","FY 2018","FY 2018","Currency=EUR","Period=FY","BEST_FPERIOD_OVERRIDE=FY","FILING_STATUS=MR","SCALING_FORMAT=MLN","Sort=A","Dates=H","DateFormat=P","Fill=—","Direction=H","UseDPDF=Y")</f>
        <v>0</v>
      </c>
      <c r="L73" s="29">
        <f>_xll.BDH("ALGEV FP Equity","BS_AMT_OF_TSY_STOCK","FY 2019","FY 2019","Currency=EUR","Period=FY","BEST_FPERIOD_OVERRIDE=FY","FILING_STATUS=MR","SCALING_FORMAT=MLN","Sort=A","Dates=H","DateFormat=P","Fill=—","Direction=H","UseDPDF=Y")</f>
        <v>0</v>
      </c>
    </row>
    <row r="74" spans="1:12" x14ac:dyDescent="0.25">
      <c r="A74" s="26" t="s">
        <v>151</v>
      </c>
      <c r="B74" s="26" t="s">
        <v>152</v>
      </c>
      <c r="C74" s="29" t="str">
        <f>_xll.BDH("ALGEV FP Equity","BS_PURE_RETAINED_EARNINGS","FY 2010","FY 2010","Currency=EUR","Period=FY","BEST_FPERIOD_OVERRIDE=FY","FILING_STATUS=MR","SCALING_FORMAT=MLN","Sort=A","Dates=H","DateFormat=P","Fill=—","Direction=H","UseDPDF=Y")</f>
        <v>—</v>
      </c>
      <c r="D74" s="29" t="str">
        <f>_xll.BDH("ALGEV FP Equity","BS_PURE_RETAINED_EARNINGS","FY 2011","FY 2011","Currency=EUR","Period=FY","BEST_FPERIOD_OVERRIDE=FY","FILING_STATUS=MR","SCALING_FORMAT=MLN","Sort=A","Dates=H","DateFormat=P","Fill=—","Direction=H","UseDPDF=Y")</f>
        <v>—</v>
      </c>
      <c r="E74" s="29" t="str">
        <f>_xll.BDH("ALGEV FP Equity","BS_PURE_RETAINED_EARNINGS","FY 2012","FY 2012","Currency=EUR","Period=FY","BEST_FPERIOD_OVERRIDE=FY","FILING_STATUS=MR","SCALING_FORMAT=MLN","Sort=A","Dates=H","DateFormat=P","Fill=—","Direction=H","UseDPDF=Y")</f>
        <v>—</v>
      </c>
      <c r="F74" s="29" t="str">
        <f>_xll.BDH("ALGEV FP Equity","BS_PURE_RETAINED_EARNINGS","FY 2013","FY 2013","Currency=EUR","Period=FY","BEST_FPERIOD_OVERRIDE=FY","FILING_STATUS=MR","SCALING_FORMAT=MLN","Sort=A","Dates=H","DateFormat=P","Fill=—","Direction=H","UseDPDF=Y")</f>
        <v>—</v>
      </c>
      <c r="G74" s="29" t="str">
        <f>_xll.BDH("ALGEV FP Equity","BS_PURE_RETAINED_EARNINGS","FY 2014","FY 2014","Currency=EUR","Period=FY","BEST_FPERIOD_OVERRIDE=FY","FILING_STATUS=MR","SCALING_FORMAT=MLN","Sort=A","Dates=H","DateFormat=P","Fill=—","Direction=H","UseDPDF=Y")</f>
        <v>—</v>
      </c>
      <c r="H74" s="29" t="str">
        <f>_xll.BDH("ALGEV FP Equity","BS_PURE_RETAINED_EARNINGS","FY 2015","FY 2015","Currency=EUR","Period=FY","BEST_FPERIOD_OVERRIDE=FY","FILING_STATUS=MR","SCALING_FORMAT=MLN","Sort=A","Dates=H","DateFormat=P","Fill=—","Direction=H","UseDPDF=Y")</f>
        <v>—</v>
      </c>
      <c r="I74" s="29">
        <f>_xll.BDH("ALGEV FP Equity","BS_PURE_RETAINED_EARNINGS","FY 2016","FY 2016","Currency=EUR","Period=FY","BEST_FPERIOD_OVERRIDE=FY","FILING_STATUS=MR","SCALING_FORMAT=MLN","Sort=A","Dates=H","DateFormat=P","Fill=—","Direction=H","UseDPDF=Y")</f>
        <v>172.684</v>
      </c>
      <c r="J74" s="29">
        <f>_xll.BDH("ALGEV FP Equity","BS_PURE_RETAINED_EARNINGS","FY 2017","FY 2017","Currency=EUR","Period=FY","BEST_FPERIOD_OVERRIDE=FY","FILING_STATUS=MR","SCALING_FORMAT=MLN","Sort=A","Dates=H","DateFormat=P","Fill=—","Direction=H","UseDPDF=Y")</f>
        <v>165.32499999999999</v>
      </c>
      <c r="K74" s="29">
        <f>_xll.BDH("ALGEV FP Equity","BS_PURE_RETAINED_EARNINGS","FY 2018","FY 2018","Currency=EUR","Period=FY","BEST_FPERIOD_OVERRIDE=FY","FILING_STATUS=MR","SCALING_FORMAT=MLN","Sort=A","Dates=H","DateFormat=P","Fill=—","Direction=H","UseDPDF=Y")</f>
        <v>162.36799999999999</v>
      </c>
      <c r="L74" s="29">
        <f>_xll.BDH("ALGEV FP Equity","BS_PURE_RETAINED_EARNINGS","FY 2019","FY 2019","Currency=EUR","Period=FY","BEST_FPERIOD_OVERRIDE=FY","FILING_STATUS=MR","SCALING_FORMAT=MLN","Sort=A","Dates=H","DateFormat=P","Fill=—","Direction=H","UseDPDF=Y")</f>
        <v>169.499</v>
      </c>
    </row>
    <row r="75" spans="1:12" x14ac:dyDescent="0.25">
      <c r="A75" s="26" t="s">
        <v>153</v>
      </c>
      <c r="B75" s="26" t="s">
        <v>154</v>
      </c>
      <c r="C75" s="29">
        <f>_xll.BDH("ALGEV FP Equity","OTHER_EQUITY_RATIO","FY 2010","FY 2010","Currency=EUR","Period=FY","BEST_FPERIOD_OVERRIDE=FY","FILING_STATUS=MR","SCALING_FORMAT=MLN","Sort=A","Dates=H","DateFormat=P","Fill=—","Direction=H","UseDPDF=Y")</f>
        <v>95.998999999999995</v>
      </c>
      <c r="D75" s="29">
        <f>_xll.BDH("ALGEV FP Equity","OTHER_EQUITY_RATIO","FY 2011","FY 2011","Currency=EUR","Period=FY","BEST_FPERIOD_OVERRIDE=FY","FILING_STATUS=MR","SCALING_FORMAT=MLN","Sort=A","Dates=H","DateFormat=P","Fill=—","Direction=H","UseDPDF=Y")</f>
        <v>140.947</v>
      </c>
      <c r="E75" s="29">
        <f>_xll.BDH("ALGEV FP Equity","OTHER_EQUITY_RATIO","FY 2012","FY 2012","Currency=EUR","Period=FY","BEST_FPERIOD_OVERRIDE=FY","FILING_STATUS=MR","SCALING_FORMAT=MLN","Sort=A","Dates=H","DateFormat=P","Fill=—","Direction=H","UseDPDF=Y")</f>
        <v>99.337000000000003</v>
      </c>
      <c r="F75" s="29">
        <f>_xll.BDH("ALGEV FP Equity","OTHER_EQUITY_RATIO","FY 2013","FY 2013","Currency=EUR","Period=FY","BEST_FPERIOD_OVERRIDE=FY","FILING_STATUS=MR","SCALING_FORMAT=MLN","Sort=A","Dates=H","DateFormat=P","Fill=—","Direction=H","UseDPDF=Y")</f>
        <v>101.43300000000001</v>
      </c>
      <c r="G75" s="29">
        <f>_xll.BDH("ALGEV FP Equity","OTHER_EQUITY_RATIO","FY 2014","FY 2014","Currency=EUR","Period=FY","BEST_FPERIOD_OVERRIDE=FY","FILING_STATUS=MR","SCALING_FORMAT=MLN","Sort=A","Dates=H","DateFormat=P","Fill=—","Direction=H","UseDPDF=Y")</f>
        <v>167.316</v>
      </c>
      <c r="H75" s="29">
        <f>_xll.BDH("ALGEV FP Equity","OTHER_EQUITY_RATIO","FY 2015","FY 2015","Currency=EUR","Period=FY","BEST_FPERIOD_OVERRIDE=FY","FILING_STATUS=MR","SCALING_FORMAT=MLN","Sort=A","Dates=H","DateFormat=P","Fill=—","Direction=H","UseDPDF=Y")</f>
        <v>164.41399999999999</v>
      </c>
      <c r="I75" s="29">
        <f>_xll.BDH("ALGEV FP Equity","OTHER_EQUITY_RATIO","FY 2016","FY 2016","Currency=EUR","Period=FY","BEST_FPERIOD_OVERRIDE=FY","FILING_STATUS=MR","SCALING_FORMAT=MLN","Sort=A","Dates=H","DateFormat=P","Fill=—","Direction=H","UseDPDF=Y")</f>
        <v>3.7960000000000003</v>
      </c>
      <c r="J75" s="29">
        <f>_xll.BDH("ALGEV FP Equity","OTHER_EQUITY_RATIO","FY 2017","FY 2017","Currency=EUR","Period=FY","BEST_FPERIOD_OVERRIDE=FY","FILING_STATUS=MR","SCALING_FORMAT=MLN","Sort=A","Dates=H","DateFormat=P","Fill=—","Direction=H","UseDPDF=Y")</f>
        <v>0.94899999999999995</v>
      </c>
      <c r="K75" s="29">
        <f>_xll.BDH("ALGEV FP Equity","OTHER_EQUITY_RATIO","FY 2018","FY 2018","Currency=EUR","Period=FY","BEST_FPERIOD_OVERRIDE=FY","FILING_STATUS=MR","SCALING_FORMAT=MLN","Sort=A","Dates=H","DateFormat=P","Fill=—","Direction=H","UseDPDF=Y")</f>
        <v>0.27900000000000003</v>
      </c>
      <c r="L75" s="29">
        <f>_xll.BDH("ALGEV FP Equity","OTHER_EQUITY_RATIO","FY 2019","FY 2019","Currency=EUR","Period=FY","BEST_FPERIOD_OVERRIDE=FY","FILING_STATUS=MR","SCALING_FORMAT=MLN","Sort=A","Dates=H","DateFormat=P","Fill=—","Direction=H","UseDPDF=Y")</f>
        <v>0.82299999999999995</v>
      </c>
    </row>
    <row r="76" spans="1:12" x14ac:dyDescent="0.25">
      <c r="A76" s="22" t="s">
        <v>155</v>
      </c>
      <c r="B76" s="22" t="s">
        <v>156</v>
      </c>
      <c r="C76" s="32">
        <f>_xll.BDH("ALGEV FP Equity","EQTY_BEF_MINORITY_INT_DETAILED","FY 2010","FY 2010","Currency=EUR","Period=FY","BEST_FPERIOD_OVERRIDE=FY","FILING_STATUS=MR","SCALING_FORMAT=MLN","Sort=A","Dates=H","DateFormat=P","Fill=—","Direction=H","UseDPDF=Y")</f>
        <v>129.03899999999999</v>
      </c>
      <c r="D76" s="32">
        <f>_xll.BDH("ALGEV FP Equity","EQTY_BEF_MINORITY_INT_DETAILED","FY 2011","FY 2011","Currency=EUR","Period=FY","BEST_FPERIOD_OVERRIDE=FY","FILING_STATUS=MR","SCALING_FORMAT=MLN","Sort=A","Dates=H","DateFormat=P","Fill=—","Direction=H","UseDPDF=Y")</f>
        <v>140.79599999999999</v>
      </c>
      <c r="E76" s="32">
        <f>_xll.BDH("ALGEV FP Equity","EQTY_BEF_MINORITY_INT_DETAILED","FY 2012","FY 2012","Currency=EUR","Period=FY","BEST_FPERIOD_OVERRIDE=FY","FILING_STATUS=MR","SCALING_FORMAT=MLN","Sort=A","Dates=H","DateFormat=P","Fill=—","Direction=H","UseDPDF=Y")</f>
        <v>131.17500000000001</v>
      </c>
      <c r="F76" s="32">
        <f>_xll.BDH("ALGEV FP Equity","EQTY_BEF_MINORITY_INT_DETAILED","FY 2013","FY 2013","Currency=EUR","Period=FY","BEST_FPERIOD_OVERRIDE=FY","FILING_STATUS=MR","SCALING_FORMAT=MLN","Sort=A","Dates=H","DateFormat=P","Fill=—","Direction=H","UseDPDF=Y")</f>
        <v>133.071</v>
      </c>
      <c r="G76" s="32">
        <f>_xll.BDH("ALGEV FP Equity","EQTY_BEF_MINORITY_INT_DETAILED","FY 2014","FY 2014","Currency=EUR","Period=FY","BEST_FPERIOD_OVERRIDE=FY","FILING_STATUS=MR","SCALING_FORMAT=MLN","Sort=A","Dates=H","DateFormat=P","Fill=—","Direction=H","UseDPDF=Y")</f>
        <v>198.24700000000001</v>
      </c>
      <c r="H76" s="32">
        <f>_xll.BDH("ALGEV FP Equity","EQTY_BEF_MINORITY_INT_DETAILED","FY 2015","FY 2015","Currency=EUR","Period=FY","BEST_FPERIOD_OVERRIDE=FY","FILING_STATUS=MR","SCALING_FORMAT=MLN","Sort=A","Dates=H","DateFormat=P","Fill=—","Direction=H","UseDPDF=Y")</f>
        <v>185.36799999999999</v>
      </c>
      <c r="I76" s="32">
        <f>_xll.BDH("ALGEV FP Equity","EQTY_BEF_MINORITY_INT_DETAILED","FY 2016","FY 2016","Currency=EUR","Period=FY","BEST_FPERIOD_OVERRIDE=FY","FILING_STATUS=MR","SCALING_FORMAT=MLN","Sort=A","Dates=H","DateFormat=P","Fill=—","Direction=H","UseDPDF=Y")</f>
        <v>197.43299999999999</v>
      </c>
      <c r="J76" s="32">
        <f>_xll.BDH("ALGEV FP Equity","EQTY_BEF_MINORITY_INT_DETAILED","FY 2017","FY 2017","Currency=EUR","Period=FY","BEST_FPERIOD_OVERRIDE=FY","FILING_STATUS=MR","SCALING_FORMAT=MLN","Sort=A","Dates=H","DateFormat=P","Fill=—","Direction=H","UseDPDF=Y")</f>
        <v>194.99199999999999</v>
      </c>
      <c r="K76" s="32">
        <f>_xll.BDH("ALGEV FP Equity","EQTY_BEF_MINORITY_INT_DETAILED","FY 2018","FY 2018","Currency=EUR","Period=FY","BEST_FPERIOD_OVERRIDE=FY","FILING_STATUS=MR","SCALING_FORMAT=MLN","Sort=A","Dates=H","DateFormat=P","Fill=—","Direction=H","UseDPDF=Y")</f>
        <v>189.58</v>
      </c>
      <c r="L76" s="32">
        <f>_xll.BDH("ALGEV FP Equity","EQTY_BEF_MINORITY_INT_DETAILED","FY 2019","FY 2019","Currency=EUR","Period=FY","BEST_FPERIOD_OVERRIDE=FY","FILING_STATUS=MR","SCALING_FORMAT=MLN","Sort=A","Dates=H","DateFormat=P","Fill=—","Direction=H","UseDPDF=Y")</f>
        <v>197.255</v>
      </c>
    </row>
    <row r="77" spans="1:12" x14ac:dyDescent="0.25">
      <c r="A77" s="26" t="s">
        <v>157</v>
      </c>
      <c r="B77" s="26" t="s">
        <v>158</v>
      </c>
      <c r="C77" s="29">
        <f>_xll.BDH("ALGEV FP Equity","MINORITY_NONCONTROLLING_INTEREST","FY 2010","FY 2010","Currency=EUR","Period=FY","BEST_FPERIOD_OVERRIDE=FY","FILING_STATUS=MR","SCALING_FORMAT=MLN","Sort=A","Dates=H","DateFormat=P","Fill=—","Direction=H","UseDPDF=Y")</f>
        <v>3.6999999999999998E-2</v>
      </c>
      <c r="D77" s="29">
        <f>_xll.BDH("ALGEV FP Equity","MINORITY_NONCONTROLLING_INTEREST","FY 2011","FY 2011","Currency=EUR","Period=FY","BEST_FPERIOD_OVERRIDE=FY","FILING_STATUS=MR","SCALING_FORMAT=MLN","Sort=A","Dates=H","DateFormat=P","Fill=—","Direction=H","UseDPDF=Y")</f>
        <v>4.2000000000000003E-2</v>
      </c>
      <c r="E77" s="29">
        <f>_xll.BDH("ALGEV FP Equity","MINORITY_NONCONTROLLING_INTEREST","FY 2012","FY 2012","Currency=EUR","Period=FY","BEST_FPERIOD_OVERRIDE=FY","FILING_STATUS=MR","SCALING_FORMAT=MLN","Sort=A","Dates=H","DateFormat=P","Fill=—","Direction=H","UseDPDF=Y")</f>
        <v>4.3999999999999997E-2</v>
      </c>
      <c r="F77" s="29">
        <f>_xll.BDH("ALGEV FP Equity","MINORITY_NONCONTROLLING_INTEREST","FY 2013","FY 2013","Currency=EUR","Period=FY","BEST_FPERIOD_OVERRIDE=FY","FILING_STATUS=MR","SCALING_FORMAT=MLN","Sort=A","Dates=H","DateFormat=P","Fill=—","Direction=H","UseDPDF=Y")</f>
        <v>4.7E-2</v>
      </c>
      <c r="G77" s="29">
        <f>_xll.BDH("ALGEV FP Equity","MINORITY_NONCONTROLLING_INTEREST","FY 2014","FY 2014","Currency=EUR","Period=FY","BEST_FPERIOD_OVERRIDE=FY","FILING_STATUS=MR","SCALING_FORMAT=MLN","Sort=A","Dates=H","DateFormat=P","Fill=—","Direction=H","UseDPDF=Y")</f>
        <v>1.889</v>
      </c>
      <c r="H77" s="29">
        <f>_xll.BDH("ALGEV FP Equity","MINORITY_NONCONTROLLING_INTEREST","FY 2015","FY 2015","Currency=EUR","Period=FY","BEST_FPERIOD_OVERRIDE=FY","FILING_STATUS=MR","SCALING_FORMAT=MLN","Sort=A","Dates=H","DateFormat=P","Fill=—","Direction=H","UseDPDF=Y")</f>
        <v>0.64300000000000002</v>
      </c>
      <c r="I77" s="29">
        <f>_xll.BDH("ALGEV FP Equity","MINORITY_NONCONTROLLING_INTEREST","FY 2016","FY 2016","Currency=EUR","Period=FY","BEST_FPERIOD_OVERRIDE=FY","FILING_STATUS=MR","SCALING_FORMAT=MLN","Sort=A","Dates=H","DateFormat=P","Fill=—","Direction=H","UseDPDF=Y")</f>
        <v>1.871</v>
      </c>
      <c r="J77" s="29">
        <f>_xll.BDH("ALGEV FP Equity","MINORITY_NONCONTROLLING_INTEREST","FY 2017","FY 2017","Currency=EUR","Period=FY","BEST_FPERIOD_OVERRIDE=FY","FILING_STATUS=MR","SCALING_FORMAT=MLN","Sort=A","Dates=H","DateFormat=P","Fill=—","Direction=H","UseDPDF=Y")</f>
        <v>1.9889999999999999</v>
      </c>
      <c r="K77" s="29">
        <f>_xll.BDH("ALGEV FP Equity","MINORITY_NONCONTROLLING_INTEREST","FY 2018","FY 2018","Currency=EUR","Period=FY","BEST_FPERIOD_OVERRIDE=FY","FILING_STATUS=MR","SCALING_FORMAT=MLN","Sort=A","Dates=H","DateFormat=P","Fill=—","Direction=H","UseDPDF=Y")</f>
        <v>2.2130000000000001</v>
      </c>
      <c r="L77" s="29">
        <f>_xll.BDH("ALGEV FP Equity","MINORITY_NONCONTROLLING_INTEREST","FY 2019","FY 2019","Currency=EUR","Period=FY","BEST_FPERIOD_OVERRIDE=FY","FILING_STATUS=MR","SCALING_FORMAT=MLN","Sort=A","Dates=H","DateFormat=P","Fill=—","Direction=H","UseDPDF=Y")</f>
        <v>1.97</v>
      </c>
    </row>
    <row r="78" spans="1:12" x14ac:dyDescent="0.25">
      <c r="A78" s="22" t="s">
        <v>159</v>
      </c>
      <c r="B78" s="22" t="s">
        <v>160</v>
      </c>
      <c r="C78" s="32">
        <f>_xll.BDH("ALGEV FP Equity","TOTAL_EQUITY","FY 2010","FY 2010","Currency=EUR","Period=FY","BEST_FPERIOD_OVERRIDE=FY","FILING_STATUS=MR","SCALING_FORMAT=MLN","Sort=A","Dates=H","DateFormat=P","Fill=—","Direction=H","UseDPDF=Y")</f>
        <v>129.07599999999999</v>
      </c>
      <c r="D78" s="32">
        <f>_xll.BDH("ALGEV FP Equity","TOTAL_EQUITY","FY 2011","FY 2011","Currency=EUR","Period=FY","BEST_FPERIOD_OVERRIDE=FY","FILING_STATUS=MR","SCALING_FORMAT=MLN","Sort=A","Dates=H","DateFormat=P","Fill=—","Direction=H","UseDPDF=Y")</f>
        <v>140.83799999999999</v>
      </c>
      <c r="E78" s="32">
        <f>_xll.BDH("ALGEV FP Equity","TOTAL_EQUITY","FY 2012","FY 2012","Currency=EUR","Period=FY","BEST_FPERIOD_OVERRIDE=FY","FILING_STATUS=MR","SCALING_FORMAT=MLN","Sort=A","Dates=H","DateFormat=P","Fill=—","Direction=H","UseDPDF=Y")</f>
        <v>131.21899999999999</v>
      </c>
      <c r="F78" s="32">
        <f>_xll.BDH("ALGEV FP Equity","TOTAL_EQUITY","FY 2013","FY 2013","Currency=EUR","Period=FY","BEST_FPERIOD_OVERRIDE=FY","FILING_STATUS=MR","SCALING_FORMAT=MLN","Sort=A","Dates=H","DateFormat=P","Fill=—","Direction=H","UseDPDF=Y")</f>
        <v>133.11799999999999</v>
      </c>
      <c r="G78" s="32">
        <f>_xll.BDH("ALGEV FP Equity","TOTAL_EQUITY","FY 2014","FY 2014","Currency=EUR","Period=FY","BEST_FPERIOD_OVERRIDE=FY","FILING_STATUS=MR","SCALING_FORMAT=MLN","Sort=A","Dates=H","DateFormat=P","Fill=—","Direction=H","UseDPDF=Y")</f>
        <v>200.136</v>
      </c>
      <c r="H78" s="32">
        <f>_xll.BDH("ALGEV FP Equity","TOTAL_EQUITY","FY 2015","FY 2015","Currency=EUR","Period=FY","BEST_FPERIOD_OVERRIDE=FY","FILING_STATUS=MR","SCALING_FORMAT=MLN","Sort=A","Dates=H","DateFormat=P","Fill=—","Direction=H","UseDPDF=Y")</f>
        <v>186.011</v>
      </c>
      <c r="I78" s="32">
        <f>_xll.BDH("ALGEV FP Equity","TOTAL_EQUITY","FY 2016","FY 2016","Currency=EUR","Period=FY","BEST_FPERIOD_OVERRIDE=FY","FILING_STATUS=MR","SCALING_FORMAT=MLN","Sort=A","Dates=H","DateFormat=P","Fill=—","Direction=H","UseDPDF=Y")</f>
        <v>199.304</v>
      </c>
      <c r="J78" s="32">
        <f>_xll.BDH("ALGEV FP Equity","TOTAL_EQUITY","FY 2017","FY 2017","Currency=EUR","Period=FY","BEST_FPERIOD_OVERRIDE=FY","FILING_STATUS=MR","SCALING_FORMAT=MLN","Sort=A","Dates=H","DateFormat=P","Fill=—","Direction=H","UseDPDF=Y")</f>
        <v>196.98099999999999</v>
      </c>
      <c r="K78" s="32">
        <f>_xll.BDH("ALGEV FP Equity","TOTAL_EQUITY","FY 2018","FY 2018","Currency=EUR","Period=FY","BEST_FPERIOD_OVERRIDE=FY","FILING_STATUS=MR","SCALING_FORMAT=MLN","Sort=A","Dates=H","DateFormat=P","Fill=—","Direction=H","UseDPDF=Y")</f>
        <v>191.79300000000001</v>
      </c>
      <c r="L78" s="32">
        <f>_xll.BDH("ALGEV FP Equity","TOTAL_EQUITY","FY 2019","FY 2019","Currency=EUR","Period=FY","BEST_FPERIOD_OVERRIDE=FY","FILING_STATUS=MR","SCALING_FORMAT=MLN","Sort=A","Dates=H","DateFormat=P","Fill=—","Direction=H","UseDPDF=Y")</f>
        <v>199.22499999999999</v>
      </c>
    </row>
    <row r="79" spans="1:12" x14ac:dyDescent="0.25">
      <c r="A79" s="22" t="s">
        <v>161</v>
      </c>
      <c r="B79" s="22" t="s">
        <v>162</v>
      </c>
      <c r="C79" s="32">
        <f>_xll.BDH("ALGEV FP Equity","TOT_LIAB_AND_EQY","FY 2010","FY 2010","Currency=EUR","Period=FY","BEST_FPERIOD_OVERRIDE=FY","FILING_STATUS=MR","SCALING_FORMAT=MLN","Sort=A","Dates=H","DateFormat=P","Fill=—","Direction=H","UseDPDF=Y")</f>
        <v>208.54499999999999</v>
      </c>
      <c r="D79" s="32">
        <f>_xll.BDH("ALGEV FP Equity","TOT_LIAB_AND_EQY","FY 2011","FY 2011","Currency=EUR","Period=FY","BEST_FPERIOD_OVERRIDE=FY","FILING_STATUS=MR","SCALING_FORMAT=MLN","Sort=A","Dates=H","DateFormat=P","Fill=—","Direction=H","UseDPDF=Y")</f>
        <v>224.59100000000001</v>
      </c>
      <c r="E79" s="32">
        <f>_xll.BDH("ALGEV FP Equity","TOT_LIAB_AND_EQY","FY 2012","FY 2012","Currency=EUR","Period=FY","BEST_FPERIOD_OVERRIDE=FY","FILING_STATUS=MR","SCALING_FORMAT=MLN","Sort=A","Dates=H","DateFormat=P","Fill=—","Direction=H","UseDPDF=Y")</f>
        <v>202.732</v>
      </c>
      <c r="F79" s="32">
        <f>_xll.BDH("ALGEV FP Equity","TOT_LIAB_AND_EQY","FY 2013","FY 2013","Currency=EUR","Period=FY","BEST_FPERIOD_OVERRIDE=FY","FILING_STATUS=MR","SCALING_FORMAT=MLN","Sort=A","Dates=H","DateFormat=P","Fill=—","Direction=H","UseDPDF=Y")</f>
        <v>223.20099999999999</v>
      </c>
      <c r="G79" s="32">
        <f>_xll.BDH("ALGEV FP Equity","TOT_LIAB_AND_EQY","FY 2014","FY 2014","Currency=EUR","Period=FY","BEST_FPERIOD_OVERRIDE=FY","FILING_STATUS=MR","SCALING_FORMAT=MLN","Sort=A","Dates=H","DateFormat=P","Fill=—","Direction=H","UseDPDF=Y")</f>
        <v>341.42099999999999</v>
      </c>
      <c r="H79" s="32">
        <f>_xll.BDH("ALGEV FP Equity","TOT_LIAB_AND_EQY","FY 2015","FY 2015","Currency=EUR","Period=FY","BEST_FPERIOD_OVERRIDE=FY","FILING_STATUS=MR","SCALING_FORMAT=MLN","Sort=A","Dates=H","DateFormat=P","Fill=—","Direction=H","UseDPDF=Y")</f>
        <v>324.70699999999999</v>
      </c>
      <c r="I79" s="32">
        <f>_xll.BDH("ALGEV FP Equity","TOT_LIAB_AND_EQY","FY 2016","FY 2016","Currency=EUR","Period=FY","BEST_FPERIOD_OVERRIDE=FY","FILING_STATUS=MR","SCALING_FORMAT=MLN","Sort=A","Dates=H","DateFormat=P","Fill=—","Direction=H","UseDPDF=Y")</f>
        <v>351.76600000000002</v>
      </c>
      <c r="J79" s="32">
        <f>_xll.BDH("ALGEV FP Equity","TOT_LIAB_AND_EQY","FY 2017","FY 2017","Currency=EUR","Period=FY","BEST_FPERIOD_OVERRIDE=FY","FILING_STATUS=MR","SCALING_FORMAT=MLN","Sort=A","Dates=H","DateFormat=P","Fill=—","Direction=H","UseDPDF=Y")</f>
        <v>290.971</v>
      </c>
      <c r="K79" s="32">
        <f>_xll.BDH("ALGEV FP Equity","TOT_LIAB_AND_EQY","FY 2018","FY 2018","Currency=EUR","Period=FY","BEST_FPERIOD_OVERRIDE=FY","FILING_STATUS=MR","SCALING_FORMAT=MLN","Sort=A","Dates=H","DateFormat=P","Fill=—","Direction=H","UseDPDF=Y")</f>
        <v>280.54599999999999</v>
      </c>
      <c r="L79" s="32">
        <f>_xll.BDH("ALGEV FP Equity","TOT_LIAB_AND_EQY","FY 2019","FY 2019","Currency=EUR","Period=FY","BEST_FPERIOD_OVERRIDE=FY","FILING_STATUS=MR","SCALING_FORMAT=MLN","Sort=A","Dates=H","DateFormat=P","Fill=—","Direction=H","UseDPDF=Y")</f>
        <v>296.36700000000002</v>
      </c>
    </row>
    <row r="80" spans="1:12" x14ac:dyDescent="0.25">
      <c r="A80" s="22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</row>
    <row r="81" spans="1:12" x14ac:dyDescent="0.25">
      <c r="A81" s="22" t="s">
        <v>163</v>
      </c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</row>
    <row r="82" spans="1:12" x14ac:dyDescent="0.25">
      <c r="A82" s="26" t="s">
        <v>164</v>
      </c>
      <c r="B82" s="26" t="s">
        <v>165</v>
      </c>
      <c r="C82" s="28" t="s">
        <v>166</v>
      </c>
      <c r="D82" s="28" t="s">
        <v>166</v>
      </c>
      <c r="E82" s="28" t="s">
        <v>166</v>
      </c>
      <c r="F82" s="28" t="s">
        <v>166</v>
      </c>
      <c r="G82" s="28" t="s">
        <v>166</v>
      </c>
      <c r="H82" s="28" t="s">
        <v>166</v>
      </c>
      <c r="I82" s="28" t="s">
        <v>166</v>
      </c>
      <c r="J82" s="28" t="s">
        <v>166</v>
      </c>
      <c r="K82" s="28" t="s">
        <v>166</v>
      </c>
      <c r="L82" s="28" t="s">
        <v>166</v>
      </c>
    </row>
    <row r="83" spans="1:12" x14ac:dyDescent="0.25">
      <c r="A83" s="26" t="s">
        <v>167</v>
      </c>
      <c r="B83" s="26" t="s">
        <v>168</v>
      </c>
      <c r="C83" s="2">
        <f>_xll.BDH("ALGEV FP Equity","BS_SH_OUT","FY 2010","FY 2010","Currency=EUR","Period=FY","BEST_FPERIOD_OVERRIDE=FY","FILING_STATUS=MR","Sort=A","Dates=H","DateFormat=P","Fill=—","Direction=H","UseDPDF=Y")</f>
        <v>0.94220000000000004</v>
      </c>
      <c r="D83" s="2">
        <f>_xll.BDH("ALGEV FP Equity","BS_SH_OUT","FY 2011","FY 2011","Currency=EUR","Period=FY","BEST_FPERIOD_OVERRIDE=FY","FILING_STATUS=MR","Sort=A","Dates=H","DateFormat=P","Fill=—","Direction=H","UseDPDF=Y")</f>
        <v>0.90969999999999995</v>
      </c>
      <c r="E83" s="2">
        <f>_xll.BDH("ALGEV FP Equity","BS_SH_OUT","FY 2012","FY 2012","Currency=EUR","Period=FY","BEST_FPERIOD_OVERRIDE=FY","FILING_STATUS=MR","Sort=A","Dates=H","DateFormat=P","Fill=—","Direction=H","UseDPDF=Y")</f>
        <v>0.90969999999999995</v>
      </c>
      <c r="F83" s="2">
        <f>_xll.BDH("ALGEV FP Equity","BS_SH_OUT","FY 2013","FY 2013","Currency=EUR","Period=FY","BEST_FPERIOD_OVERRIDE=FY","FILING_STATUS=MR","Sort=A","Dates=H","DateFormat=P","Fill=—","Direction=H","UseDPDF=Y")</f>
        <v>0.90600000000000003</v>
      </c>
      <c r="G83" s="2">
        <f>_xll.BDH("ALGEV FP Equity","BS_SH_OUT","FY 2014","FY 2014","Currency=EUR","Period=FY","BEST_FPERIOD_OVERRIDE=FY","FILING_STATUS=MR","Sort=A","Dates=H","DateFormat=P","Fill=—","Direction=H","UseDPDF=Y")</f>
        <v>0.90969999999999995</v>
      </c>
      <c r="H83" s="2">
        <f>_xll.BDH("ALGEV FP Equity","BS_SH_OUT","FY 2015","FY 2015","Currency=EUR","Period=FY","BEST_FPERIOD_OVERRIDE=FY","FILING_STATUS=MR","Sort=A","Dates=H","DateFormat=P","Fill=—","Direction=H","UseDPDF=Y")</f>
        <v>0.89319999999999999</v>
      </c>
      <c r="I83" s="2">
        <f>_xll.BDH("ALGEV FP Equity","BS_SH_OUT","FY 2016","FY 2016","Currency=EUR","Period=FY","BEST_FPERIOD_OVERRIDE=FY","FILING_STATUS=MR","Sort=A","Dates=H","DateFormat=P","Fill=—","Direction=H","UseDPDF=Y")</f>
        <v>0.82050000000000001</v>
      </c>
      <c r="J83" s="2">
        <f>_xll.BDH("ALGEV FP Equity","BS_SH_OUT","FY 2017","FY 2017","Currency=EUR","Period=FY","BEST_FPERIOD_OVERRIDE=FY","FILING_STATUS=MR","Sort=A","Dates=H","DateFormat=P","Fill=—","Direction=H","UseDPDF=Y")</f>
        <v>0.82050000000000001</v>
      </c>
      <c r="K83" s="2">
        <f>_xll.BDH("ALGEV FP Equity","BS_SH_OUT","FY 2018","FY 2018","Currency=EUR","Period=FY","BEST_FPERIOD_OVERRIDE=FY","FILING_STATUS=MR","Sort=A","Dates=H","DateFormat=P","Fill=—","Direction=H","UseDPDF=Y")</f>
        <v>0.76949999999999996</v>
      </c>
      <c r="L83" s="2">
        <f>_xll.BDH("ALGEV FP Equity","BS_SH_OUT","FY 2019","FY 2019","Currency=EUR","Period=FY","BEST_FPERIOD_OVERRIDE=FY","FILING_STATUS=MR","Sort=A","Dates=H","DateFormat=P","Fill=—","Direction=H","UseDPDF=Y")</f>
        <v>0.76949999999999996</v>
      </c>
    </row>
    <row r="84" spans="1:12" x14ac:dyDescent="0.25">
      <c r="A84" s="26" t="s">
        <v>169</v>
      </c>
      <c r="B84" s="26" t="s">
        <v>170</v>
      </c>
      <c r="C84" s="29">
        <f>_xll.BDH("ALGEV FP Equity","BS_NUM_OF_TSY_SH","FY 2010","FY 2010","Currency=EUR","Period=FY","BEST_FPERIOD_OVERRIDE=FY","FILING_STATUS=MR","Sort=A","Dates=H","DateFormat=P","Fill=—","Direction=H","UseDPDF=Y")</f>
        <v>1.5299999999999999E-2</v>
      </c>
      <c r="D84" s="29">
        <f>_xll.BDH("ALGEV FP Equity","BS_NUM_OF_TSY_SH","FY 2011","FY 2011","Currency=EUR","Period=FY","BEST_FPERIOD_OVERRIDE=FY","FILING_STATUS=MR","Sort=A","Dates=H","DateFormat=P","Fill=—","Direction=H","UseDPDF=Y")</f>
        <v>2.5000000000000001E-3</v>
      </c>
      <c r="E84" s="29">
        <f>_xll.BDH("ALGEV FP Equity","BS_NUM_OF_TSY_SH","FY 2012","FY 2012","Currency=EUR","Period=FY","BEST_FPERIOD_OVERRIDE=FY","FILING_STATUS=MR","Sort=A","Dates=H","DateFormat=P","Fill=—","Direction=H","UseDPDF=Y")</f>
        <v>0</v>
      </c>
      <c r="F84" s="29">
        <f>_xll.BDH("ALGEV FP Equity","BS_NUM_OF_TSY_SH","FY 2013","FY 2013","Currency=EUR","Period=FY","BEST_FPERIOD_OVERRIDE=FY","FILING_STATUS=MR","Sort=A","Dates=H","DateFormat=P","Fill=—","Direction=H","UseDPDF=Y")</f>
        <v>3.7000000000000002E-3</v>
      </c>
      <c r="G84" s="29">
        <f>_xll.BDH("ALGEV FP Equity","BS_NUM_OF_TSY_SH","FY 2014","FY 2014","Currency=EUR","Period=FY","BEST_FPERIOD_OVERRIDE=FY","FILING_STATUS=MR","Sort=A","Dates=H","DateFormat=P","Fill=—","Direction=H","UseDPDF=Y")</f>
        <v>1.15E-2</v>
      </c>
      <c r="H84" s="29">
        <f>_xll.BDH("ALGEV FP Equity","BS_NUM_OF_TSY_SH","FY 2015","FY 2015","Currency=EUR","Period=FY","BEST_FPERIOD_OVERRIDE=FY","FILING_STATUS=MR","Sort=A","Dates=H","DateFormat=P","Fill=—","Direction=H","UseDPDF=Y")</f>
        <v>7.2700000000000001E-2</v>
      </c>
      <c r="I84" s="29">
        <f>_xll.BDH("ALGEV FP Equity","BS_NUM_OF_TSY_SH","FY 2016","FY 2016","Currency=EUR","Period=FY","BEST_FPERIOD_OVERRIDE=FY","FILING_STATUS=MR","Sort=A","Dates=H","DateFormat=P","Fill=—","Direction=H","UseDPDF=Y")</f>
        <v>7.2700000000000001E-2</v>
      </c>
      <c r="J84" s="29">
        <f>_xll.BDH("ALGEV FP Equity","BS_NUM_OF_TSY_SH","FY 2017","FY 2017","Currency=EUR","Period=FY","BEST_FPERIOD_OVERRIDE=FY","FILING_STATUS=MR","Sort=A","Dates=H","DateFormat=P","Fill=—","Direction=H","UseDPDF=Y")</f>
        <v>0</v>
      </c>
      <c r="K84" s="29">
        <f>_xll.BDH("ALGEV FP Equity","BS_NUM_OF_TSY_SH","FY 2018","FY 2018","Currency=EUR","Period=FY","BEST_FPERIOD_OVERRIDE=FY","FILING_STATUS=MR","Sort=A","Dates=H","DateFormat=P","Fill=—","Direction=H","UseDPDF=Y")</f>
        <v>0</v>
      </c>
      <c r="L84" s="29">
        <f>_xll.BDH("ALGEV FP Equity","BS_NUM_OF_TSY_SH","FY 2019","FY 2019","Currency=EUR","Period=FY","BEST_FPERIOD_OVERRIDE=FY","FILING_STATUS=MR","Sort=A","Dates=H","DateFormat=P","Fill=—","Direction=H","UseDPDF=Y")</f>
        <v>0</v>
      </c>
    </row>
    <row r="85" spans="1:12" x14ac:dyDescent="0.25">
      <c r="A85" s="26" t="s">
        <v>171</v>
      </c>
      <c r="B85" s="26" t="s">
        <v>172</v>
      </c>
      <c r="C85" s="29">
        <f>_xll.BDH("ALGEV FP Equity","BS_PENSION_RSRV","FY 2010","FY 2010","Currency=EUR","Period=FY","BEST_FPERIOD_OVERRIDE=FY","FILING_STATUS=MR","SCALING_FORMAT=MLN","Sort=A","Dates=H","DateFormat=P","Fill=—","Direction=H","UseDPDF=Y")</f>
        <v>3.677</v>
      </c>
      <c r="D85" s="29">
        <f>_xll.BDH("ALGEV FP Equity","BS_PENSION_RSRV","FY 2011","FY 2011","Currency=EUR","Period=FY","BEST_FPERIOD_OVERRIDE=FY","FILING_STATUS=MR","SCALING_FORMAT=MLN","Sort=A","Dates=H","DateFormat=P","Fill=—","Direction=H","UseDPDF=Y")</f>
        <v>3.86</v>
      </c>
      <c r="E85" s="29">
        <f>_xll.BDH("ALGEV FP Equity","BS_PENSION_RSRV","FY 2012","FY 2012","Currency=EUR","Period=FY","BEST_FPERIOD_OVERRIDE=FY","FILING_STATUS=MR","SCALING_FORMAT=MLN","Sort=A","Dates=H","DateFormat=P","Fill=—","Direction=H","UseDPDF=Y")</f>
        <v>4.282</v>
      </c>
      <c r="F85" s="29">
        <f>_xll.BDH("ALGEV FP Equity","BS_PENSION_RSRV","FY 2013","FY 2013","Currency=EUR","Period=FY","BEST_FPERIOD_OVERRIDE=FY","FILING_STATUS=MR","SCALING_FORMAT=MLN","Sort=A","Dates=H","DateFormat=P","Fill=—","Direction=H","UseDPDF=Y")</f>
        <v>6.101</v>
      </c>
      <c r="G85" s="29">
        <f>_xll.BDH("ALGEV FP Equity","BS_PENSION_RSRV","FY 2014","FY 2014","Currency=EUR","Period=FY","BEST_FPERIOD_OVERRIDE=FY","FILING_STATUS=MR","SCALING_FORMAT=MLN","Sort=A","Dates=H","DateFormat=P","Fill=—","Direction=H","UseDPDF=Y")</f>
        <v>8.2870000000000008</v>
      </c>
      <c r="H85" s="29">
        <f>_xll.BDH("ALGEV FP Equity","BS_PENSION_RSRV","FY 2015","FY 2015","Currency=EUR","Period=FY","BEST_FPERIOD_OVERRIDE=FY","FILING_STATUS=MR","SCALING_FORMAT=MLN","Sort=A","Dates=H","DateFormat=P","Fill=—","Direction=H","UseDPDF=Y")</f>
        <v>7.9269999999999996</v>
      </c>
      <c r="I85" s="29">
        <f>_xll.BDH("ALGEV FP Equity","BS_PENSION_RSRV","FY 2016","FY 2016","Currency=EUR","Period=FY","BEST_FPERIOD_OVERRIDE=FY","FILING_STATUS=MR","SCALING_FORMAT=MLN","Sort=A","Dates=H","DateFormat=P","Fill=—","Direction=H","UseDPDF=Y")</f>
        <v>9.4369999999999994</v>
      </c>
      <c r="J85" s="29">
        <f>_xll.BDH("ALGEV FP Equity","BS_PENSION_RSRV","FY 2017","FY 2017","Currency=EUR","Period=FY","BEST_FPERIOD_OVERRIDE=FY","FILING_STATUS=MR","SCALING_FORMAT=MLN","Sort=A","Dates=H","DateFormat=P","Fill=—","Direction=H","UseDPDF=Y")</f>
        <v>2.3370000000000002</v>
      </c>
      <c r="K85" s="29">
        <f>_xll.BDH("ALGEV FP Equity","BS_PENSION_RSRV","FY 2018","FY 2018","Currency=EUR","Period=FY","BEST_FPERIOD_OVERRIDE=FY","FILING_STATUS=MR","SCALING_FORMAT=MLN","Sort=A","Dates=H","DateFormat=P","Fill=—","Direction=H","UseDPDF=Y")</f>
        <v>2.2909999999999999</v>
      </c>
      <c r="L85" s="29">
        <f>_xll.BDH("ALGEV FP Equity","BS_PENSION_RSRV","FY 2019","FY 2019","Currency=EUR","Period=FY","BEST_FPERIOD_OVERRIDE=FY","FILING_STATUS=MR","SCALING_FORMAT=MLN","Sort=A","Dates=H","DateFormat=P","Fill=—","Direction=H","UseDPDF=Y")</f>
        <v>2.6029999999999998</v>
      </c>
    </row>
    <row r="86" spans="1:12" x14ac:dyDescent="0.25">
      <c r="A86" s="26" t="s">
        <v>173</v>
      </c>
      <c r="B86" s="26" t="s">
        <v>174</v>
      </c>
      <c r="C86" s="29">
        <f>_xll.BDH("ALGEV FP Equity","BS_FUTURE_MIN_OPER_LEASE_OBLIG","FY 2010","FY 2010","Currency=EUR","Period=FY","BEST_FPERIOD_OVERRIDE=FY","FILING_STATUS=MR","SCALING_FORMAT=MLN","Sort=A","Dates=H","DateFormat=P","Fill=—","Direction=H","UseDPDF=Y")</f>
        <v>1.573</v>
      </c>
      <c r="D86" s="29">
        <f>_xll.BDH("ALGEV FP Equity","BS_FUTURE_MIN_OPER_LEASE_OBLIG","FY 2011","FY 2011","Currency=EUR","Period=FY","BEST_FPERIOD_OVERRIDE=FY","FILING_STATUS=MR","SCALING_FORMAT=MLN","Sort=A","Dates=H","DateFormat=P","Fill=—","Direction=H","UseDPDF=Y")</f>
        <v>1.4929999999999999</v>
      </c>
      <c r="E86" s="29">
        <f>_xll.BDH("ALGEV FP Equity","BS_FUTURE_MIN_OPER_LEASE_OBLIG","FY 2012","FY 2012","Currency=EUR","Period=FY","BEST_FPERIOD_OVERRIDE=FY","FILING_STATUS=MR","SCALING_FORMAT=MLN","Sort=A","Dates=H","DateFormat=P","Fill=—","Direction=H","UseDPDF=Y")</f>
        <v>1.321</v>
      </c>
      <c r="F86" s="29">
        <f>_xll.BDH("ALGEV FP Equity","BS_FUTURE_MIN_OPER_LEASE_OBLIG","FY 2013","FY 2013","Currency=EUR","Period=FY","BEST_FPERIOD_OVERRIDE=FY","FILING_STATUS=MR","SCALING_FORMAT=MLN","Sort=A","Dates=H","DateFormat=P","Fill=—","Direction=H","UseDPDF=Y")</f>
        <v>2.0270000000000001</v>
      </c>
      <c r="G86" s="29">
        <f>_xll.BDH("ALGEV FP Equity","BS_FUTURE_MIN_OPER_LEASE_OBLIG","FY 2014","FY 2014","Currency=EUR","Period=FY","BEST_FPERIOD_OVERRIDE=FY","FILING_STATUS=MR","SCALING_FORMAT=MLN","Sort=A","Dates=H","DateFormat=P","Fill=—","Direction=H","UseDPDF=Y")</f>
        <v>1.609</v>
      </c>
      <c r="H86" s="29">
        <f>_xll.BDH("ALGEV FP Equity","BS_FUTURE_MIN_OPER_LEASE_OBLIG","FY 2015","FY 2015","Currency=EUR","Period=FY","BEST_FPERIOD_OVERRIDE=FY","FILING_STATUS=MR","SCALING_FORMAT=MLN","Sort=A","Dates=H","DateFormat=P","Fill=—","Direction=H","UseDPDF=Y")</f>
        <v>1.2669999999999999</v>
      </c>
      <c r="I86" s="29">
        <f>_xll.BDH("ALGEV FP Equity","BS_FUTURE_MIN_OPER_LEASE_OBLIG","FY 2016","FY 2016","Currency=EUR","Period=FY","BEST_FPERIOD_OVERRIDE=FY","FILING_STATUS=MR","SCALING_FORMAT=MLN","Sort=A","Dates=H","DateFormat=P","Fill=—","Direction=H","UseDPDF=Y")</f>
        <v>2.2450000000000001</v>
      </c>
      <c r="J86" s="29">
        <f>_xll.BDH("ALGEV FP Equity","BS_FUTURE_MIN_OPER_LEASE_OBLIG","FY 2017","FY 2017","Currency=EUR","Period=FY","BEST_FPERIOD_OVERRIDE=FY","FILING_STATUS=MR","SCALING_FORMAT=MLN","Sort=A","Dates=H","DateFormat=P","Fill=—","Direction=H","UseDPDF=Y")</f>
        <v>2.0129999999999999</v>
      </c>
      <c r="K86" s="29">
        <f>_xll.BDH("ALGEV FP Equity","BS_FUTURE_MIN_OPER_LEASE_OBLIG","FY 2018","FY 2018","Currency=EUR","Period=FY","BEST_FPERIOD_OVERRIDE=FY","FILING_STATUS=MR","SCALING_FORMAT=MLN","Sort=A","Dates=H","DateFormat=P","Fill=—","Direction=H","UseDPDF=Y")</f>
        <v>1.6800000000000002</v>
      </c>
      <c r="L86" s="29" t="str">
        <f>_xll.BDH("ALGEV FP Equity","BS_FUTURE_MIN_OPER_LEASE_OBLIG","FY 2019","FY 2019","Currency=EUR","Period=FY","BEST_FPERIOD_OVERRIDE=FY","FILING_STATUS=MR","SCALING_FORMAT=MLN","Sort=A","Dates=H","DateFormat=P","Fill=—","Direction=H","UseDPDF=Y")</f>
        <v>—</v>
      </c>
    </row>
    <row r="87" spans="1:12" x14ac:dyDescent="0.25">
      <c r="A87" s="26" t="s">
        <v>175</v>
      </c>
      <c r="B87" s="26" t="s">
        <v>176</v>
      </c>
      <c r="C87" s="29">
        <f>_xll.BDH("ALGEV FP Equity","BS_TOTAL_CAPITAL_LEASES","FY 2010","FY 2010","Currency=EUR","Period=FY","BEST_FPERIOD_OVERRIDE=FY","FILING_STATUS=MR","SCALING_FORMAT=MLN","Sort=A","Dates=H","DateFormat=P","Fill=—","Direction=H","UseDPDF=Y")</f>
        <v>6.83</v>
      </c>
      <c r="D87" s="29">
        <f>_xll.BDH("ALGEV FP Equity","BS_TOTAL_CAPITAL_LEASES","FY 2011","FY 2011","Currency=EUR","Period=FY","BEST_FPERIOD_OVERRIDE=FY","FILING_STATUS=MR","SCALING_FORMAT=MLN","Sort=A","Dates=H","DateFormat=P","Fill=—","Direction=H","UseDPDF=Y")</f>
        <v>4.9130000000000003</v>
      </c>
      <c r="E87" s="29">
        <f>_xll.BDH("ALGEV FP Equity","BS_TOTAL_CAPITAL_LEASES","FY 2012","FY 2012","Currency=EUR","Period=FY","BEST_FPERIOD_OVERRIDE=FY","FILING_STATUS=MR","SCALING_FORMAT=MLN","Sort=A","Dates=H","DateFormat=P","Fill=—","Direction=H","UseDPDF=Y")</f>
        <v>6.2039999999999997</v>
      </c>
      <c r="F87" s="29">
        <f>_xll.BDH("ALGEV FP Equity","BS_TOTAL_CAPITAL_LEASES","FY 2013","FY 2013","Currency=EUR","Period=FY","BEST_FPERIOD_OVERRIDE=FY","FILING_STATUS=MR","SCALING_FORMAT=MLN","Sort=A","Dates=H","DateFormat=P","Fill=—","Direction=H","UseDPDF=Y")</f>
        <v>6.827</v>
      </c>
      <c r="G87" s="29">
        <f>_xll.BDH("ALGEV FP Equity","BS_TOTAL_CAPITAL_LEASES","FY 2014","FY 2014","Currency=EUR","Period=FY","BEST_FPERIOD_OVERRIDE=FY","FILING_STATUS=MR","SCALING_FORMAT=MLN","Sort=A","Dates=H","DateFormat=P","Fill=—","Direction=H","UseDPDF=Y")</f>
        <v>5.9939999999999998</v>
      </c>
      <c r="H87" s="29">
        <f>_xll.BDH("ALGEV FP Equity","BS_TOTAL_CAPITAL_LEASES","FY 2015","FY 2015","Currency=EUR","Period=FY","BEST_FPERIOD_OVERRIDE=FY","FILING_STATUS=MR","SCALING_FORMAT=MLN","Sort=A","Dates=H","DateFormat=P","Fill=—","Direction=H","UseDPDF=Y")</f>
        <v>5.3970000000000002</v>
      </c>
      <c r="I87" s="29">
        <f>_xll.BDH("ALGEV FP Equity","BS_TOTAL_CAPITAL_LEASES","FY 2016","FY 2016","Currency=EUR","Period=FY","BEST_FPERIOD_OVERRIDE=FY","FILING_STATUS=MR","SCALING_FORMAT=MLN","Sort=A","Dates=H","DateFormat=P","Fill=—","Direction=H","UseDPDF=Y")</f>
        <v>6.4409999999999998</v>
      </c>
      <c r="J87" s="29">
        <f>_xll.BDH("ALGEV FP Equity","BS_TOTAL_CAPITAL_LEASES","FY 2017","FY 2017","Currency=EUR","Period=FY","BEST_FPERIOD_OVERRIDE=FY","FILING_STATUS=MR","SCALING_FORMAT=MLN","Sort=A","Dates=H","DateFormat=P","Fill=—","Direction=H","UseDPDF=Y")</f>
        <v>2.9159999999999999</v>
      </c>
      <c r="K87" s="29">
        <f>_xll.BDH("ALGEV FP Equity","BS_TOTAL_CAPITAL_LEASES","FY 2018","FY 2018","Currency=EUR","Period=FY","BEST_FPERIOD_OVERRIDE=FY","FILING_STATUS=MR","SCALING_FORMAT=MLN","Sort=A","Dates=H","DateFormat=P","Fill=—","Direction=H","UseDPDF=Y")</f>
        <v>3.0219999999999998</v>
      </c>
      <c r="L87" s="29" t="str">
        <f>_xll.BDH("ALGEV FP Equity","BS_TOTAL_CAPITAL_LEASES","FY 2019","FY 2019","Currency=EUR","Period=FY","BEST_FPERIOD_OVERRIDE=FY","FILING_STATUS=MR","SCALING_FORMAT=MLN","Sort=A","Dates=H","DateFormat=P","Fill=—","Direction=H","UseDPDF=Y")</f>
        <v>—</v>
      </c>
    </row>
    <row r="88" spans="1:12" x14ac:dyDescent="0.25">
      <c r="A88" s="26" t="s">
        <v>177</v>
      </c>
      <c r="B88" s="26" t="s">
        <v>178</v>
      </c>
      <c r="C88" s="29">
        <f>_xll.BDH("ALGEV FP Equity","BS_OPTIONS_GRANTED","FY 2010","FY 2010","Currency=EUR","Period=FY","BEST_FPERIOD_OVERRIDE=FY","FILING_STATUS=MR","Sort=A","Dates=H","DateFormat=P","Fill=—","Direction=H","UseDPDF=Y")</f>
        <v>0</v>
      </c>
      <c r="D88" s="29">
        <f>_xll.BDH("ALGEV FP Equity","BS_OPTIONS_GRANTED","FY 2011","FY 2011","Currency=EUR","Period=FY","BEST_FPERIOD_OVERRIDE=FY","FILING_STATUS=MR","Sort=A","Dates=H","DateFormat=P","Fill=—","Direction=H","UseDPDF=Y")</f>
        <v>0</v>
      </c>
      <c r="E88" s="29">
        <f>_xll.BDH("ALGEV FP Equity","BS_OPTIONS_GRANTED","FY 2012","FY 2012","Currency=EUR","Period=FY","BEST_FPERIOD_OVERRIDE=FY","FILING_STATUS=MR","Sort=A","Dates=H","DateFormat=P","Fill=—","Direction=H","UseDPDF=Y")</f>
        <v>0</v>
      </c>
      <c r="F88" s="29">
        <f>_xll.BDH("ALGEV FP Equity","BS_OPTIONS_GRANTED","FY 2013","FY 2013","Currency=EUR","Period=FY","BEST_FPERIOD_OVERRIDE=FY","FILING_STATUS=MR","Sort=A","Dates=H","DateFormat=P","Fill=—","Direction=H","UseDPDF=Y")</f>
        <v>0</v>
      </c>
      <c r="G88" s="29">
        <f>_xll.BDH("ALGEV FP Equity","BS_OPTIONS_GRANTED","FY 2014","FY 2014","Currency=EUR","Period=FY","BEST_FPERIOD_OVERRIDE=FY","FILING_STATUS=MR","Sort=A","Dates=H","DateFormat=P","Fill=—","Direction=H","UseDPDF=Y")</f>
        <v>0</v>
      </c>
      <c r="H88" s="29">
        <f>_xll.BDH("ALGEV FP Equity","BS_OPTIONS_GRANTED","FY 2015","FY 2015","Currency=EUR","Period=FY","BEST_FPERIOD_OVERRIDE=FY","FILING_STATUS=MR","Sort=A","Dates=H","DateFormat=P","Fill=—","Direction=H","UseDPDF=Y")</f>
        <v>0</v>
      </c>
      <c r="I88" s="29" t="str">
        <f>_xll.BDH("ALGEV FP Equity","BS_OPTIONS_GRANTED","FY 2016","FY 2016","Currency=EUR","Period=FY","BEST_FPERIOD_OVERRIDE=FY","FILING_STATUS=MR","Sort=A","Dates=H","DateFormat=P","Fill=—","Direction=H","UseDPDF=Y")</f>
        <v>—</v>
      </c>
      <c r="J88" s="29" t="str">
        <f>_xll.BDH("ALGEV FP Equity","BS_OPTIONS_GRANTED","FY 2017","FY 2017","Currency=EUR","Period=FY","BEST_FPERIOD_OVERRIDE=FY","FILING_STATUS=MR","Sort=A","Dates=H","DateFormat=P","Fill=—","Direction=H","UseDPDF=Y")</f>
        <v>—</v>
      </c>
      <c r="K88" s="29" t="str">
        <f>_xll.BDH("ALGEV FP Equity","BS_OPTIONS_GRANTED","FY 2018","FY 2018","Currency=EUR","Period=FY","BEST_FPERIOD_OVERRIDE=FY","FILING_STATUS=MR","Sort=A","Dates=H","DateFormat=P","Fill=—","Direction=H","UseDPDF=Y")</f>
        <v>—</v>
      </c>
      <c r="L88" s="29" t="str">
        <f>_xll.BDH("ALGEV FP Equity","BS_OPTIONS_GRANTED","FY 2019","FY 2019","Currency=EUR","Period=FY","BEST_FPERIOD_OVERRIDE=FY","FILING_STATUS=MR","Sort=A","Dates=H","DateFormat=P","Fill=—","Direction=H","UseDPDF=Y")</f>
        <v>—</v>
      </c>
    </row>
    <row r="89" spans="1:12" x14ac:dyDescent="0.25">
      <c r="A89" s="26" t="s">
        <v>179</v>
      </c>
      <c r="B89" s="26" t="s">
        <v>180</v>
      </c>
      <c r="C89" s="29">
        <f>_xll.BDH("ALGEV FP Equity","BS_OPTIONS_OUTSTANDING","FY 2010","FY 2010","Currency=EUR","Period=FY","BEST_FPERIOD_OVERRIDE=FY","FILING_STATUS=MR","Sort=A","Dates=H","DateFormat=P","Fill=—","Direction=H","UseDPDF=Y")</f>
        <v>0</v>
      </c>
      <c r="D89" s="29">
        <f>_xll.BDH("ALGEV FP Equity","BS_OPTIONS_OUTSTANDING","FY 2011","FY 2011","Currency=EUR","Period=FY","BEST_FPERIOD_OVERRIDE=FY","FILING_STATUS=MR","Sort=A","Dates=H","DateFormat=P","Fill=—","Direction=H","UseDPDF=Y")</f>
        <v>0</v>
      </c>
      <c r="E89" s="29">
        <f>_xll.BDH("ALGEV FP Equity","BS_OPTIONS_OUTSTANDING","FY 2012","FY 2012","Currency=EUR","Period=FY","BEST_FPERIOD_OVERRIDE=FY","FILING_STATUS=MR","Sort=A","Dates=H","DateFormat=P","Fill=—","Direction=H","UseDPDF=Y")</f>
        <v>0</v>
      </c>
      <c r="F89" s="29">
        <f>_xll.BDH("ALGEV FP Equity","BS_OPTIONS_OUTSTANDING","FY 2013","FY 2013","Currency=EUR","Period=FY","BEST_FPERIOD_OVERRIDE=FY","FILING_STATUS=MR","Sort=A","Dates=H","DateFormat=P","Fill=—","Direction=H","UseDPDF=Y")</f>
        <v>0</v>
      </c>
      <c r="G89" s="29">
        <f>_xll.BDH("ALGEV FP Equity","BS_OPTIONS_OUTSTANDING","FY 2014","FY 2014","Currency=EUR","Period=FY","BEST_FPERIOD_OVERRIDE=FY","FILING_STATUS=MR","Sort=A","Dates=H","DateFormat=P","Fill=—","Direction=H","UseDPDF=Y")</f>
        <v>0</v>
      </c>
      <c r="H89" s="29">
        <f>_xll.BDH("ALGEV FP Equity","BS_OPTIONS_OUTSTANDING","FY 2015","FY 2015","Currency=EUR","Period=FY","BEST_FPERIOD_OVERRIDE=FY","FILING_STATUS=MR","Sort=A","Dates=H","DateFormat=P","Fill=—","Direction=H","UseDPDF=Y")</f>
        <v>0</v>
      </c>
      <c r="I89" s="29" t="str">
        <f>_xll.BDH("ALGEV FP Equity","BS_OPTIONS_OUTSTANDING","FY 2016","FY 2016","Currency=EUR","Period=FY","BEST_FPERIOD_OVERRIDE=FY","FILING_STATUS=MR","Sort=A","Dates=H","DateFormat=P","Fill=—","Direction=H","UseDPDF=Y")</f>
        <v>—</v>
      </c>
      <c r="J89" s="29" t="str">
        <f>_xll.BDH("ALGEV FP Equity","BS_OPTIONS_OUTSTANDING","FY 2017","FY 2017","Currency=EUR","Period=FY","BEST_FPERIOD_OVERRIDE=FY","FILING_STATUS=MR","Sort=A","Dates=H","DateFormat=P","Fill=—","Direction=H","UseDPDF=Y")</f>
        <v>—</v>
      </c>
      <c r="K89" s="29" t="str">
        <f>_xll.BDH("ALGEV FP Equity","BS_OPTIONS_OUTSTANDING","FY 2018","FY 2018","Currency=EUR","Period=FY","BEST_FPERIOD_OVERRIDE=FY","FILING_STATUS=MR","Sort=A","Dates=H","DateFormat=P","Fill=—","Direction=H","UseDPDF=Y")</f>
        <v>—</v>
      </c>
      <c r="L89" s="29" t="str">
        <f>_xll.BDH("ALGEV FP Equity","BS_OPTIONS_OUTSTANDING","FY 2019","FY 2019","Currency=EUR","Period=FY","BEST_FPERIOD_OVERRIDE=FY","FILING_STATUS=MR","Sort=A","Dates=H","DateFormat=P","Fill=—","Direction=H","UseDPDF=Y")</f>
        <v>—</v>
      </c>
    </row>
    <row r="90" spans="1:12" x14ac:dyDescent="0.25">
      <c r="A90" s="26" t="s">
        <v>181</v>
      </c>
      <c r="B90" s="26" t="s">
        <v>182</v>
      </c>
      <c r="C90" s="29">
        <f>_xll.BDH("ALGEV FP Equity","NET_DEBT","FY 2010","FY 2010","Currency=EUR","Period=FY","BEST_FPERIOD_OVERRIDE=FY","FILING_STATUS=MR","SCALING_FORMAT=MLN","Sort=A","Dates=H","DateFormat=P","Fill=—","Direction=H","UseDPDF=Y")</f>
        <v>-17.239999999999998</v>
      </c>
      <c r="D90" s="29">
        <f>_xll.BDH("ALGEV FP Equity","NET_DEBT","FY 2011","FY 2011","Currency=EUR","Period=FY","BEST_FPERIOD_OVERRIDE=FY","FILING_STATUS=MR","SCALING_FORMAT=MLN","Sort=A","Dates=H","DateFormat=P","Fill=—","Direction=H","UseDPDF=Y")</f>
        <v>-1.7450000000000001</v>
      </c>
      <c r="E90" s="29">
        <f>_xll.BDH("ALGEV FP Equity","NET_DEBT","FY 2012","FY 2012","Currency=EUR","Period=FY","BEST_FPERIOD_OVERRIDE=FY","FILING_STATUS=MR","SCALING_FORMAT=MLN","Sort=A","Dates=H","DateFormat=P","Fill=—","Direction=H","UseDPDF=Y")</f>
        <v>-11.061</v>
      </c>
      <c r="F90" s="29">
        <f>_xll.BDH("ALGEV FP Equity","NET_DEBT","FY 2013","FY 2013","Currency=EUR","Period=FY","BEST_FPERIOD_OVERRIDE=FY","FILING_STATUS=MR","SCALING_FORMAT=MLN","Sort=A","Dates=H","DateFormat=P","Fill=—","Direction=H","UseDPDF=Y")</f>
        <v>-15.852</v>
      </c>
      <c r="G90" s="29">
        <f>_xll.BDH("ALGEV FP Equity","NET_DEBT","FY 2014","FY 2014","Currency=EUR","Period=FY","BEST_FPERIOD_OVERRIDE=FY","FILING_STATUS=MR","SCALING_FORMAT=MLN","Sort=A","Dates=H","DateFormat=P","Fill=—","Direction=H","UseDPDF=Y")</f>
        <v>-97.742000000000004</v>
      </c>
      <c r="H90" s="29">
        <f>_xll.BDH("ALGEV FP Equity","NET_DEBT","FY 2015","FY 2015","Currency=EUR","Period=FY","BEST_FPERIOD_OVERRIDE=FY","FILING_STATUS=MR","SCALING_FORMAT=MLN","Sort=A","Dates=H","DateFormat=P","Fill=—","Direction=H","UseDPDF=Y")</f>
        <v>-63.881</v>
      </c>
      <c r="I90" s="29">
        <f>_xll.BDH("ALGEV FP Equity","NET_DEBT","FY 2016","FY 2016","Currency=EUR","Period=FY","BEST_FPERIOD_OVERRIDE=FY","FILING_STATUS=MR","SCALING_FORMAT=MLN","Sort=A","Dates=H","DateFormat=P","Fill=—","Direction=H","UseDPDF=Y")</f>
        <v>-66.941999999999993</v>
      </c>
      <c r="J90" s="29">
        <f>_xll.BDH("ALGEV FP Equity","NET_DEBT","FY 2017","FY 2017","Currency=EUR","Period=FY","BEST_FPERIOD_OVERRIDE=FY","FILING_STATUS=MR","SCALING_FORMAT=MLN","Sort=A","Dates=H","DateFormat=P","Fill=—","Direction=H","UseDPDF=Y")</f>
        <v>-94.213999999999999</v>
      </c>
      <c r="K90" s="29">
        <f>_xll.BDH("ALGEV FP Equity","NET_DEBT","FY 2018","FY 2018","Currency=EUR","Period=FY","BEST_FPERIOD_OVERRIDE=FY","FILING_STATUS=MR","SCALING_FORMAT=MLN","Sort=A","Dates=H","DateFormat=P","Fill=—","Direction=H","UseDPDF=Y")</f>
        <v>-164.03700000000001</v>
      </c>
      <c r="L90" s="29">
        <f>_xll.BDH("ALGEV FP Equity","NET_DEBT","FY 2019","FY 2019","Currency=EUR","Period=FY","BEST_FPERIOD_OVERRIDE=FY","FILING_STATUS=MR","SCALING_FORMAT=MLN","Sort=A","Dates=H","DateFormat=P","Fill=—","Direction=H","UseDPDF=Y")</f>
        <v>-148.34299999999999</v>
      </c>
    </row>
    <row r="91" spans="1:12" x14ac:dyDescent="0.25">
      <c r="A91" s="26" t="s">
        <v>183</v>
      </c>
      <c r="B91" s="26" t="s">
        <v>184</v>
      </c>
      <c r="C91" s="30">
        <f>_xll.BDH("ALGEV FP Equity","NET_DEBT_TO_SHRHLDR_EQTY","FY 2010","FY 2010","Currency=EUR","Period=FY","BEST_FPERIOD_OVERRIDE=FY","FILING_STATUS=MR","Sort=A","Dates=H","DateFormat=P","Fill=—","Direction=H","UseDPDF=Y")</f>
        <v>-13.3565</v>
      </c>
      <c r="D91" s="30">
        <f>_xll.BDH("ALGEV FP Equity","NET_DEBT_TO_SHRHLDR_EQTY","FY 2011","FY 2011","Currency=EUR","Period=FY","BEST_FPERIOD_OVERRIDE=FY","FILING_STATUS=MR","Sort=A","Dates=H","DateFormat=P","Fill=—","Direction=H","UseDPDF=Y")</f>
        <v>-1.2389999999999999</v>
      </c>
      <c r="E91" s="30">
        <f>_xll.BDH("ALGEV FP Equity","NET_DEBT_TO_SHRHLDR_EQTY","FY 2012","FY 2012","Currency=EUR","Period=FY","BEST_FPERIOD_OVERRIDE=FY","FILING_STATUS=MR","Sort=A","Dates=H","DateFormat=P","Fill=—","Direction=H","UseDPDF=Y")</f>
        <v>-8.4293999999999993</v>
      </c>
      <c r="F91" s="30">
        <f>_xll.BDH("ALGEV FP Equity","NET_DEBT_TO_SHRHLDR_EQTY","FY 2013","FY 2013","Currency=EUR","Period=FY","BEST_FPERIOD_OVERRIDE=FY","FILING_STATUS=MR","Sort=A","Dates=H","DateFormat=P","Fill=—","Direction=H","UseDPDF=Y")</f>
        <v>-11.908200000000001</v>
      </c>
      <c r="G91" s="30">
        <f>_xll.BDH("ALGEV FP Equity","NET_DEBT_TO_SHRHLDR_EQTY","FY 2014","FY 2014","Currency=EUR","Period=FY","BEST_FPERIOD_OVERRIDE=FY","FILING_STATUS=MR","Sort=A","Dates=H","DateFormat=P","Fill=—","Direction=H","UseDPDF=Y")</f>
        <v>-48.837800000000001</v>
      </c>
      <c r="H91" s="30">
        <f>_xll.BDH("ALGEV FP Equity","NET_DEBT_TO_SHRHLDR_EQTY","FY 2015","FY 2015","Currency=EUR","Period=FY","BEST_FPERIOD_OVERRIDE=FY","FILING_STATUS=MR","Sort=A","Dates=H","DateFormat=P","Fill=—","Direction=H","UseDPDF=Y")</f>
        <v>-34.342599999999997</v>
      </c>
      <c r="I91" s="30">
        <f>_xll.BDH("ALGEV FP Equity","NET_DEBT_TO_SHRHLDR_EQTY","FY 2016","FY 2016","Currency=EUR","Period=FY","BEST_FPERIOD_OVERRIDE=FY","FILING_STATUS=MR","Sort=A","Dates=H","DateFormat=P","Fill=—","Direction=H","UseDPDF=Y")</f>
        <v>-33.587899999999998</v>
      </c>
      <c r="J91" s="30">
        <f>_xll.BDH("ALGEV FP Equity","NET_DEBT_TO_SHRHLDR_EQTY","FY 2017","FY 2017","Currency=EUR","Period=FY","BEST_FPERIOD_OVERRIDE=FY","FILING_STATUS=MR","Sort=A","Dates=H","DateFormat=P","Fill=—","Direction=H","UseDPDF=Y")</f>
        <v>-47.829000000000001</v>
      </c>
      <c r="K91" s="30">
        <f>_xll.BDH("ALGEV FP Equity","NET_DEBT_TO_SHRHLDR_EQTY","FY 2018","FY 2018","Currency=EUR","Period=FY","BEST_FPERIOD_OVERRIDE=FY","FILING_STATUS=MR","Sort=A","Dates=H","DateFormat=P","Fill=—","Direction=H","UseDPDF=Y")</f>
        <v>-85.528099999999995</v>
      </c>
      <c r="L91" s="30">
        <f>_xll.BDH("ALGEV FP Equity","NET_DEBT_TO_SHRHLDR_EQTY","FY 2019","FY 2019","Currency=EUR","Period=FY","BEST_FPERIOD_OVERRIDE=FY","FILING_STATUS=MR","Sort=A","Dates=H","DateFormat=P","Fill=—","Direction=H","UseDPDF=Y")</f>
        <v>-74.459999999999994</v>
      </c>
    </row>
    <row r="92" spans="1:12" x14ac:dyDescent="0.25">
      <c r="A92" s="26" t="s">
        <v>185</v>
      </c>
      <c r="B92" s="26" t="s">
        <v>186</v>
      </c>
      <c r="C92" s="30">
        <f>_xll.BDH("ALGEV FP Equity","TCE_RATIO","FY 2010","FY 2010","Currency=EUR","Period=FY","BEST_FPERIOD_OVERRIDE=FY","FILING_STATUS=MR","Sort=A","Dates=H","DateFormat=P","Fill=—","Direction=H","UseDPDF=Y")</f>
        <v>60.812100000000001</v>
      </c>
      <c r="D92" s="30">
        <f>_xll.BDH("ALGEV FP Equity","TCE_RATIO","FY 2011","FY 2011","Currency=EUR","Period=FY","BEST_FPERIOD_OVERRIDE=FY","FILING_STATUS=MR","Sort=A","Dates=H","DateFormat=P","Fill=—","Direction=H","UseDPDF=Y")</f>
        <v>61.614199999999997</v>
      </c>
      <c r="E92" s="30">
        <f>_xll.BDH("ALGEV FP Equity","TCE_RATIO","FY 2012","FY 2012","Currency=EUR","Period=FY","BEST_FPERIOD_OVERRIDE=FY","FILING_STATUS=MR","Sort=A","Dates=H","DateFormat=P","Fill=—","Direction=H","UseDPDF=Y")</f>
        <v>62.599200000000003</v>
      </c>
      <c r="F92" s="30">
        <f>_xll.BDH("ALGEV FP Equity","TCE_RATIO","FY 2013","FY 2013","Currency=EUR","Period=FY","BEST_FPERIOD_OVERRIDE=FY","FILING_STATUS=MR","Sort=A","Dates=H","DateFormat=P","Fill=—","Direction=H","UseDPDF=Y")</f>
        <v>58.542000000000002</v>
      </c>
      <c r="G92" s="30">
        <f>_xll.BDH("ALGEV FP Equity","TCE_RATIO","FY 2014","FY 2014","Currency=EUR","Period=FY","BEST_FPERIOD_OVERRIDE=FY","FILING_STATUS=MR","Sort=A","Dates=H","DateFormat=P","Fill=—","Direction=H","UseDPDF=Y")</f>
        <v>56.822000000000003</v>
      </c>
      <c r="H92" s="30">
        <f>_xll.BDH("ALGEV FP Equity","TCE_RATIO","FY 2015","FY 2015","Currency=EUR","Period=FY","BEST_FPERIOD_OVERRIDE=FY","FILING_STATUS=MR","Sort=A","Dates=H","DateFormat=P","Fill=—","Direction=H","UseDPDF=Y")</f>
        <v>56.357300000000002</v>
      </c>
      <c r="I92" s="30">
        <f>_xll.BDH("ALGEV FP Equity","TCE_RATIO","FY 2016","FY 2016","Currency=EUR","Period=FY","BEST_FPERIOD_OVERRIDE=FY","FILING_STATUS=MR","Sort=A","Dates=H","DateFormat=P","Fill=—","Direction=H","UseDPDF=Y")</f>
        <v>55.321399999999997</v>
      </c>
      <c r="J92" s="30">
        <f>_xll.BDH("ALGEV FP Equity","TCE_RATIO","FY 2017","FY 2017","Currency=EUR","Period=FY","BEST_FPERIOD_OVERRIDE=FY","FILING_STATUS=MR","Sort=A","Dates=H","DateFormat=P","Fill=—","Direction=H","UseDPDF=Y")</f>
        <v>66.664100000000005</v>
      </c>
      <c r="K92" s="30">
        <f>_xll.BDH("ALGEV FP Equity","TCE_RATIO","FY 2018","FY 2018","Currency=EUR","Period=FY","BEST_FPERIOD_OVERRIDE=FY","FILING_STATUS=MR","Sort=A","Dates=H","DateFormat=P","Fill=—","Direction=H","UseDPDF=Y")</f>
        <v>67.238299999999995</v>
      </c>
      <c r="L92" s="30">
        <f>_xll.BDH("ALGEV FP Equity","TCE_RATIO","FY 2019","FY 2019","Currency=EUR","Period=FY","BEST_FPERIOD_OVERRIDE=FY","FILING_STATUS=MR","Sort=A","Dates=H","DateFormat=P","Fill=—","Direction=H","UseDPDF=Y")</f>
        <v>65.199799999999996</v>
      </c>
    </row>
    <row r="93" spans="1:12" x14ac:dyDescent="0.25">
      <c r="A93" s="26" t="s">
        <v>187</v>
      </c>
      <c r="B93" s="26" t="s">
        <v>188</v>
      </c>
      <c r="C93" s="30">
        <f>_xll.BDH("ALGEV FP Equity","CUR_RATIO","FY 2010","FY 2010","Currency=EUR","Period=FY","BEST_FPERIOD_OVERRIDE=FY","FILING_STATUS=MR","Sort=A","Dates=H","DateFormat=P","Fill=—","Direction=H","UseDPDF=Y")</f>
        <v>1.8935</v>
      </c>
      <c r="D93" s="30">
        <f>_xll.BDH("ALGEV FP Equity","CUR_RATIO","FY 2011","FY 2011","Currency=EUR","Period=FY","BEST_FPERIOD_OVERRIDE=FY","FILING_STATUS=MR","Sort=A","Dates=H","DateFormat=P","Fill=—","Direction=H","UseDPDF=Y")</f>
        <v>1.9149</v>
      </c>
      <c r="E93" s="30">
        <f>_xll.BDH("ALGEV FP Equity","CUR_RATIO","FY 2012","FY 2012","Currency=EUR","Period=FY","BEST_FPERIOD_OVERRIDE=FY","FILING_STATUS=MR","Sort=A","Dates=H","DateFormat=P","Fill=—","Direction=H","UseDPDF=Y")</f>
        <v>2.1215999999999999</v>
      </c>
      <c r="F93" s="30">
        <f>_xll.BDH("ALGEV FP Equity","CUR_RATIO","FY 2013","FY 2013","Currency=EUR","Period=FY","BEST_FPERIOD_OVERRIDE=FY","FILING_STATUS=MR","Sort=A","Dates=H","DateFormat=P","Fill=—","Direction=H","UseDPDF=Y")</f>
        <v>2.282</v>
      </c>
      <c r="G93" s="30">
        <f>_xll.BDH("ALGEV FP Equity","CUR_RATIO","FY 2014","FY 2014","Currency=EUR","Period=FY","BEST_FPERIOD_OVERRIDE=FY","FILING_STATUS=MR","Sort=A","Dates=H","DateFormat=P","Fill=—","Direction=H","UseDPDF=Y")</f>
        <v>2.2429999999999999</v>
      </c>
      <c r="H93" s="30">
        <f>_xll.BDH("ALGEV FP Equity","CUR_RATIO","FY 2015","FY 2015","Currency=EUR","Period=FY","BEST_FPERIOD_OVERRIDE=FY","FILING_STATUS=MR","Sort=A","Dates=H","DateFormat=P","Fill=—","Direction=H","UseDPDF=Y")</f>
        <v>2.161</v>
      </c>
      <c r="I93" s="30">
        <f>_xll.BDH("ALGEV FP Equity","CUR_RATIO","FY 2016","FY 2016","Currency=EUR","Period=FY","BEST_FPERIOD_OVERRIDE=FY","FILING_STATUS=MR","Sort=A","Dates=H","DateFormat=P","Fill=—","Direction=H","UseDPDF=Y")</f>
        <v>2.2317</v>
      </c>
      <c r="J93" s="30">
        <f>_xll.BDH("ALGEV FP Equity","CUR_RATIO","FY 2017","FY 2017","Currency=EUR","Period=FY","BEST_FPERIOD_OVERRIDE=FY","FILING_STATUS=MR","Sort=A","Dates=H","DateFormat=P","Fill=—","Direction=H","UseDPDF=Y")</f>
        <v>3.1939000000000002</v>
      </c>
      <c r="K93" s="30">
        <f>_xll.BDH("ALGEV FP Equity","CUR_RATIO","FY 2018","FY 2018","Currency=EUR","Period=FY","BEST_FPERIOD_OVERRIDE=FY","FILING_STATUS=MR","Sort=A","Dates=H","DateFormat=P","Fill=—","Direction=H","UseDPDF=Y")</f>
        <v>3.1684000000000001</v>
      </c>
      <c r="L93" s="30">
        <f>_xll.BDH("ALGEV FP Equity","CUR_RATIO","FY 2019","FY 2019","Currency=EUR","Period=FY","BEST_FPERIOD_OVERRIDE=FY","FILING_STATUS=MR","Sort=A","Dates=H","DateFormat=P","Fill=—","Direction=H","UseDPDF=Y")</f>
        <v>3.0741000000000001</v>
      </c>
    </row>
    <row r="94" spans="1:12" x14ac:dyDescent="0.25">
      <c r="A94" s="26" t="s">
        <v>189</v>
      </c>
      <c r="B94" s="26" t="s">
        <v>190</v>
      </c>
      <c r="C94" s="30">
        <f>_xll.BDH("ALGEV FP Equity","NUM_OF_EMPLOYEES","FY 2010","FY 2010","Currency=EUR","Period=FY","BEST_FPERIOD_OVERRIDE=FY","FILING_STATUS=MR","Sort=A","Dates=H","DateFormat=P","Fill=—","Direction=H","UseDPDF=Y")</f>
        <v>1175</v>
      </c>
      <c r="D94" s="30">
        <f>_xll.BDH("ALGEV FP Equity","NUM_OF_EMPLOYEES","FY 2011","FY 2011","Currency=EUR","Period=FY","BEST_FPERIOD_OVERRIDE=FY","FILING_STATUS=MR","Sort=A","Dates=H","DateFormat=P","Fill=—","Direction=H","UseDPDF=Y")</f>
        <v>1195</v>
      </c>
      <c r="E94" s="30">
        <f>_xll.BDH("ALGEV FP Equity","NUM_OF_EMPLOYEES","FY 2012","FY 2012","Currency=EUR","Period=FY","BEST_FPERIOD_OVERRIDE=FY","FILING_STATUS=MR","Sort=A","Dates=H","DateFormat=P","Fill=—","Direction=H","UseDPDF=Y")</f>
        <v>1251</v>
      </c>
      <c r="F94" s="30">
        <f>_xll.BDH("ALGEV FP Equity","NUM_OF_EMPLOYEES","FY 2013","FY 2013","Currency=EUR","Period=FY","BEST_FPERIOD_OVERRIDE=FY","FILING_STATUS=MR","Sort=A","Dates=H","DateFormat=P","Fill=—","Direction=H","UseDPDF=Y")</f>
        <v>1268</v>
      </c>
      <c r="G94" s="30">
        <f>_xll.BDH("ALGEV FP Equity","NUM_OF_EMPLOYEES","FY 2014","FY 2014","Currency=EUR","Period=FY","BEST_FPERIOD_OVERRIDE=FY","FILING_STATUS=MR","Sort=A","Dates=H","DateFormat=P","Fill=—","Direction=H","UseDPDF=Y")</f>
        <v>1424</v>
      </c>
      <c r="H94" s="30">
        <f>_xll.BDH("ALGEV FP Equity","NUM_OF_EMPLOYEES","FY 2015","FY 2015","Currency=EUR","Period=FY","BEST_FPERIOD_OVERRIDE=FY","FILING_STATUS=MR","Sort=A","Dates=H","DateFormat=P","Fill=—","Direction=H","UseDPDF=Y")</f>
        <v>1305</v>
      </c>
      <c r="I94" s="30">
        <f>_xll.BDH("ALGEV FP Equity","NUM_OF_EMPLOYEES","FY 2016","FY 2016","Currency=EUR","Period=FY","BEST_FPERIOD_OVERRIDE=FY","FILING_STATUS=MR","Sort=A","Dates=H","DateFormat=P","Fill=—","Direction=H","UseDPDF=Y")</f>
        <v>1257</v>
      </c>
      <c r="J94" s="30">
        <f>_xll.BDH("ALGEV FP Equity","NUM_OF_EMPLOYEES","FY 2017","FY 2017","Currency=EUR","Period=FY","BEST_FPERIOD_OVERRIDE=FY","FILING_STATUS=MR","Sort=A","Dates=H","DateFormat=P","Fill=—","Direction=H","UseDPDF=Y")</f>
        <v>1312</v>
      </c>
      <c r="K94" s="30">
        <f>_xll.BDH("ALGEV FP Equity","NUM_OF_EMPLOYEES","FY 2018","FY 2018","Currency=EUR","Period=FY","BEST_FPERIOD_OVERRIDE=FY","FILING_STATUS=MR","Sort=A","Dates=H","DateFormat=P","Fill=—","Direction=H","UseDPDF=Y")</f>
        <v>621</v>
      </c>
      <c r="L94" s="30">
        <f>_xll.BDH("ALGEV FP Equity","NUM_OF_EMPLOYEES","FY 2019","FY 2019","Currency=EUR","Period=FY","BEST_FPERIOD_OVERRIDE=FY","FILING_STATUS=MR","Sort=A","Dates=H","DateFormat=P","Fill=—","Direction=H","UseDPDF=Y")</f>
        <v>712</v>
      </c>
    </row>
    <row r="95" spans="1:12" x14ac:dyDescent="0.25">
      <c r="A95" s="23" t="s">
        <v>191</v>
      </c>
      <c r="B95" s="23"/>
      <c r="C95" s="23" t="s">
        <v>192</v>
      </c>
      <c r="D95" s="23"/>
      <c r="E95" s="23"/>
      <c r="F95" s="23"/>
      <c r="G95" s="23"/>
      <c r="H95" s="23"/>
      <c r="I95" s="23"/>
      <c r="J95" s="23"/>
      <c r="K95" s="23"/>
      <c r="L95" s="2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topLeftCell="A19" workbookViewId="0">
      <selection activeCell="H34" sqref="H34"/>
    </sheetView>
  </sheetViews>
  <sheetFormatPr baseColWidth="10" defaultRowHeight="15" x14ac:dyDescent="0.25"/>
  <cols>
    <col min="1" max="1" width="35.140625" customWidth="1"/>
    <col min="2" max="2" width="0" hidden="1" customWidth="1"/>
    <col min="3" max="12" width="11.85546875" customWidth="1"/>
  </cols>
  <sheetData>
    <row r="1" spans="1:12" ht="14.45" x14ac:dyDescent="0.3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20.25" x14ac:dyDescent="0.25">
      <c r="A2" s="24" t="s">
        <v>208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14.45" x14ac:dyDescent="0.3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</row>
    <row r="4" spans="1:12" ht="14.45" x14ac:dyDescent="0.35">
      <c r="A4" s="16" t="s">
        <v>1</v>
      </c>
      <c r="B4" s="16"/>
      <c r="C4" s="15" t="s">
        <v>3</v>
      </c>
      <c r="D4" s="15" t="s">
        <v>4</v>
      </c>
      <c r="E4" s="15" t="s">
        <v>5</v>
      </c>
      <c r="F4" s="15" t="s">
        <v>6</v>
      </c>
      <c r="G4" s="15" t="s">
        <v>7</v>
      </c>
      <c r="H4" s="15" t="s">
        <v>8</v>
      </c>
      <c r="I4" s="15" t="s">
        <v>9</v>
      </c>
      <c r="J4" s="15" t="s">
        <v>10</v>
      </c>
      <c r="K4" s="15" t="s">
        <v>11</v>
      </c>
      <c r="L4" s="15" t="s">
        <v>209</v>
      </c>
    </row>
    <row r="5" spans="1:12" ht="14.45" x14ac:dyDescent="0.35">
      <c r="A5" s="25" t="s">
        <v>12</v>
      </c>
      <c r="B5" s="25"/>
      <c r="C5" s="14" t="s">
        <v>14</v>
      </c>
      <c r="D5" s="14" t="s">
        <v>15</v>
      </c>
      <c r="E5" s="14" t="s">
        <v>16</v>
      </c>
      <c r="F5" s="14" t="s">
        <v>17</v>
      </c>
      <c r="G5" s="14" t="s">
        <v>18</v>
      </c>
      <c r="H5" s="14" t="s">
        <v>19</v>
      </c>
      <c r="I5" s="14" t="s">
        <v>20</v>
      </c>
      <c r="J5" s="14" t="s">
        <v>21</v>
      </c>
      <c r="K5" s="14" t="s">
        <v>22</v>
      </c>
      <c r="L5" s="14" t="s">
        <v>210</v>
      </c>
    </row>
    <row r="6" spans="1:12" ht="14.45" x14ac:dyDescent="0.35">
      <c r="A6" s="13" t="s">
        <v>211</v>
      </c>
      <c r="B6" s="13" t="s">
        <v>212</v>
      </c>
      <c r="C6" s="32">
        <f>_xll.BDH("ALGEV FP Equity","SALES_REV_TURN","FY 2011","FY 2011","Currency=EUR","Period=FY","BEST_FPERIOD_OVERRIDE=FY","FILING_STATUS=MR","SCALING_FORMAT=MLN","FA_ADJUSTED=Adjusted","Sort=A","Dates=H","DateFormat=P","Fill=—","Direction=H","UseDPDF=Y")</f>
        <v>220.78399999999999</v>
      </c>
      <c r="D6" s="32">
        <f>_xll.BDH("ALGEV FP Equity","SALES_REV_TURN","FY 2012","FY 2012","Currency=EUR","Period=FY","BEST_FPERIOD_OVERRIDE=FY","FILING_STATUS=MR","SCALING_FORMAT=MLN","FA_ADJUSTED=Adjusted","Sort=A","Dates=H","DateFormat=P","Fill=—","Direction=H","UseDPDF=Y")</f>
        <v>202.07400000000001</v>
      </c>
      <c r="E6" s="32">
        <f>_xll.BDH("ALGEV FP Equity","SALES_REV_TURN","FY 2013","FY 2013","Currency=EUR","Period=FY","BEST_FPERIOD_OVERRIDE=FY","FILING_STATUS=MR","SCALING_FORMAT=MLN","FA_ADJUSTED=Adjusted","Sort=A","Dates=H","DateFormat=P","Fill=—","Direction=H","UseDPDF=Y")</f>
        <v>199.221</v>
      </c>
      <c r="F6" s="32">
        <f>_xll.BDH("ALGEV FP Equity","SALES_REV_TURN","FY 2014","FY 2014","Currency=EUR","Period=FY","BEST_FPERIOD_OVERRIDE=FY","FILING_STATUS=MR","SCALING_FORMAT=MLN","FA_ADJUSTED=Adjusted","Sort=A","Dates=H","DateFormat=P","Fill=—","Direction=H","UseDPDF=Y")</f>
        <v>211.803</v>
      </c>
      <c r="G6" s="32">
        <f>_xll.BDH("ALGEV FP Equity","SALES_REV_TURN","FY 2015","FY 2015","Currency=EUR","Period=FY","BEST_FPERIOD_OVERRIDE=FY","FILING_STATUS=MR","SCALING_FORMAT=MLN","FA_ADJUSTED=Adjusted","Sort=A","Dates=H","DateFormat=P","Fill=—","Direction=H","UseDPDF=Y")</f>
        <v>206.87</v>
      </c>
      <c r="H6" s="32">
        <f>_xll.BDH("ALGEV FP Equity","SALES_REV_TURN","FY 2016","FY 2016","Currency=EUR","Period=FY","BEST_FPERIOD_OVERRIDE=FY","FILING_STATUS=MR","SCALING_FORMAT=MLN","FA_ADJUSTED=Adjusted","Sort=A","Dates=H","DateFormat=P","Fill=—","Direction=H","UseDPDF=Y")</f>
        <v>91.239000000000004</v>
      </c>
      <c r="I6" s="32">
        <f>_xll.BDH("ALGEV FP Equity","SALES_REV_TURN","FY 2017","FY 2017","Currency=EUR","Period=FY","BEST_FPERIOD_OVERRIDE=FY","FILING_STATUS=MR","SCALING_FORMAT=MLN","FA_ADJUSTED=Adjusted","Sort=A","Dates=H","DateFormat=P","Fill=—","Direction=H","UseDPDF=Y")</f>
        <v>89.486000000000004</v>
      </c>
      <c r="J6" s="32">
        <f>_xll.BDH("ALGEV FP Equity","SALES_REV_TURN","FY 2018","FY 2018","Currency=EUR","Period=FY","BEST_FPERIOD_OVERRIDE=FY","FILING_STATUS=MR","SCALING_FORMAT=MLN","FA_ADJUSTED=Adjusted","Sort=A","Dates=H","DateFormat=P","Fill=—","Direction=H","UseDPDF=Y")</f>
        <v>94.224999999999994</v>
      </c>
      <c r="K6" s="32">
        <f>_xll.BDH("ALGEV FP Equity","SALES_REV_TURN","FY 2019","FY 2019","Currency=EUR","Period=FY","BEST_FPERIOD_OVERRIDE=FY","FILING_STATUS=MR","SCALING_FORMAT=MLN","FA_ADJUSTED=Adjusted","Sort=A","Dates=H","DateFormat=P","Fill=—","Direction=H","UseDPDF=Y")</f>
        <v>103.73</v>
      </c>
      <c r="L6" s="12">
        <v>96.64</v>
      </c>
    </row>
    <row r="7" spans="1:12" ht="14.45" x14ac:dyDescent="0.35">
      <c r="A7" s="11" t="s">
        <v>213</v>
      </c>
      <c r="B7" s="11" t="s">
        <v>214</v>
      </c>
      <c r="C7" s="29" t="str">
        <f>_xll.BDH("ALGEV FP Equity","IS_SALES_AND_SERVICES_REVENUES","FY 2011","FY 2011","Currency=EUR","Period=FY","BEST_FPERIOD_OVERRIDE=FY","FILING_STATUS=MR","SCALING_FORMAT=MLN","FA_ADJUSTED=Adjusted","Sort=A","Dates=H","DateFormat=P","Fill=—","Direction=H","UseDPDF=Y")</f>
        <v>—</v>
      </c>
      <c r="D7" s="29" t="str">
        <f>_xll.BDH("ALGEV FP Equity","IS_SALES_AND_SERVICES_REVENUES","FY 2012","FY 2012","Currency=EUR","Period=FY","BEST_FPERIOD_OVERRIDE=FY","FILING_STATUS=MR","SCALING_FORMAT=MLN","FA_ADJUSTED=Adjusted","Sort=A","Dates=H","DateFormat=P","Fill=—","Direction=H","UseDPDF=Y")</f>
        <v>—</v>
      </c>
      <c r="E7" s="29" t="str">
        <f>_xll.BDH("ALGEV FP Equity","IS_SALES_AND_SERVICES_REVENUES","FY 2013","FY 2013","Currency=EUR","Period=FY","BEST_FPERIOD_OVERRIDE=FY","FILING_STATUS=MR","SCALING_FORMAT=MLN","FA_ADJUSTED=Adjusted","Sort=A","Dates=H","DateFormat=P","Fill=—","Direction=H","UseDPDF=Y")</f>
        <v>—</v>
      </c>
      <c r="F7" s="29" t="str">
        <f>_xll.BDH("ALGEV FP Equity","IS_SALES_AND_SERVICES_REVENUES","FY 2014","FY 2014","Currency=EUR","Period=FY","BEST_FPERIOD_OVERRIDE=FY","FILING_STATUS=MR","SCALING_FORMAT=MLN","FA_ADJUSTED=Adjusted","Sort=A","Dates=H","DateFormat=P","Fill=—","Direction=H","UseDPDF=Y")</f>
        <v>—</v>
      </c>
      <c r="G7" s="29" t="str">
        <f>_xll.BDH("ALGEV FP Equity","IS_SALES_AND_SERVICES_REVENUES","FY 2015","FY 2015","Currency=EUR","Period=FY","BEST_FPERIOD_OVERRIDE=FY","FILING_STATUS=MR","SCALING_FORMAT=MLN","FA_ADJUSTED=Adjusted","Sort=A","Dates=H","DateFormat=P","Fill=—","Direction=H","UseDPDF=Y")</f>
        <v>—</v>
      </c>
      <c r="H7" s="29">
        <f>_xll.BDH("ALGEV FP Equity","IS_SALES_AND_SERVICES_REVENUES","FY 2016","FY 2016","Currency=EUR","Period=FY","BEST_FPERIOD_OVERRIDE=FY","FILING_STATUS=MR","SCALING_FORMAT=MLN","FA_ADJUSTED=Adjusted","Sort=A","Dates=H","DateFormat=P","Fill=—","Direction=H","UseDPDF=Y")</f>
        <v>91.239000000000004</v>
      </c>
      <c r="I7" s="29">
        <f>_xll.BDH("ALGEV FP Equity","IS_SALES_AND_SERVICES_REVENUES","FY 2017","FY 2017","Currency=EUR","Period=FY","BEST_FPERIOD_OVERRIDE=FY","FILING_STATUS=MR","SCALING_FORMAT=MLN","FA_ADJUSTED=Adjusted","Sort=A","Dates=H","DateFormat=P","Fill=—","Direction=H","UseDPDF=Y")</f>
        <v>89.486000000000004</v>
      </c>
      <c r="J7" s="29">
        <f>_xll.BDH("ALGEV FP Equity","IS_SALES_AND_SERVICES_REVENUES","FY 2018","FY 2018","Currency=EUR","Period=FY","BEST_FPERIOD_OVERRIDE=FY","FILING_STATUS=MR","SCALING_FORMAT=MLN","FA_ADJUSTED=Adjusted","Sort=A","Dates=H","DateFormat=P","Fill=—","Direction=H","UseDPDF=Y")</f>
        <v>94.224999999999994</v>
      </c>
      <c r="K7" s="29">
        <f>_xll.BDH("ALGEV FP Equity","IS_SALES_AND_SERVICES_REVENUES","FY 2019","FY 2019","Currency=EUR","Period=FY","BEST_FPERIOD_OVERRIDE=FY","FILING_STATUS=MR","SCALING_FORMAT=MLN","FA_ADJUSTED=Adjusted","Sort=A","Dates=H","DateFormat=P","Fill=—","Direction=H","UseDPDF=Y")</f>
        <v>103.73</v>
      </c>
      <c r="L7" s="10">
        <v>96.64</v>
      </c>
    </row>
    <row r="8" spans="1:12" ht="14.45" x14ac:dyDescent="0.35">
      <c r="A8" s="11" t="s">
        <v>215</v>
      </c>
      <c r="B8" s="11" t="s">
        <v>216</v>
      </c>
      <c r="C8" s="29" t="str">
        <f>_xll.BDH("ALGEV FP Equity","IS_OTHER_OPER_INC","FY 2011","FY 2011","Currency=EUR","Period=FY","BEST_FPERIOD_OVERRIDE=FY","FILING_STATUS=MR","SCALING_FORMAT=MLN","FA_ADJUSTED=Adjusted","Sort=A","Dates=H","DateFormat=P","Fill=—","Direction=H","UseDPDF=Y")</f>
        <v>—</v>
      </c>
      <c r="D8" s="29">
        <f>_xll.BDH("ALGEV FP Equity","IS_OTHER_OPER_INC","FY 2012","FY 2012","Currency=EUR","Period=FY","BEST_FPERIOD_OVERRIDE=FY","FILING_STATUS=MR","SCALING_FORMAT=MLN","FA_ADJUSTED=Adjusted","Sort=A","Dates=H","DateFormat=P","Fill=—","Direction=H","UseDPDF=Y")</f>
        <v>3.681</v>
      </c>
      <c r="E8" s="29">
        <f>_xll.BDH("ALGEV FP Equity","IS_OTHER_OPER_INC","FY 2013","FY 2013","Currency=EUR","Period=FY","BEST_FPERIOD_OVERRIDE=FY","FILING_STATUS=MR","SCALING_FORMAT=MLN","FA_ADJUSTED=Adjusted","Sort=A","Dates=H","DateFormat=P","Fill=—","Direction=H","UseDPDF=Y")</f>
        <v>2.6029999999999998</v>
      </c>
      <c r="F8" s="29">
        <f>_xll.BDH("ALGEV FP Equity","IS_OTHER_OPER_INC","FY 2014","FY 2014","Currency=EUR","Period=FY","BEST_FPERIOD_OVERRIDE=FY","FILING_STATUS=MR","SCALING_FORMAT=MLN","FA_ADJUSTED=Adjusted","Sort=A","Dates=H","DateFormat=P","Fill=—","Direction=H","UseDPDF=Y")</f>
        <v>69.331999999999994</v>
      </c>
      <c r="G8" s="29">
        <f>_xll.BDH("ALGEV FP Equity","IS_OTHER_OPER_INC","FY 2015","FY 2015","Currency=EUR","Period=FY","BEST_FPERIOD_OVERRIDE=FY","FILING_STATUS=MR","SCALING_FORMAT=MLN","FA_ADJUSTED=Adjusted","Sort=A","Dates=H","DateFormat=P","Fill=—","Direction=H","UseDPDF=Y")</f>
        <v>8.7970000000000006</v>
      </c>
      <c r="H8" s="29">
        <f>_xll.BDH("ALGEV FP Equity","IS_OTHER_OPER_INC","FY 2016","FY 2016","Currency=EUR","Period=FY","BEST_FPERIOD_OVERRIDE=FY","FILING_STATUS=MR","SCALING_FORMAT=MLN","FA_ADJUSTED=Adjusted","Sort=A","Dates=H","DateFormat=P","Fill=—","Direction=H","UseDPDF=Y")</f>
        <v>15.164999999999999</v>
      </c>
      <c r="I8" s="29">
        <f>_xll.BDH("ALGEV FP Equity","IS_OTHER_OPER_INC","FY 2017","FY 2017","Currency=EUR","Period=FY","BEST_FPERIOD_OVERRIDE=FY","FILING_STATUS=MR","SCALING_FORMAT=MLN","FA_ADJUSTED=Adjusted","Sort=A","Dates=H","DateFormat=P","Fill=—","Direction=H","UseDPDF=Y")</f>
        <v>27.611000000000001</v>
      </c>
      <c r="J8" s="29">
        <f>_xll.BDH("ALGEV FP Equity","IS_OTHER_OPER_INC","FY 2018","FY 2018","Currency=EUR","Period=FY","BEST_FPERIOD_OVERRIDE=FY","FILING_STATUS=MR","SCALING_FORMAT=MLN","FA_ADJUSTED=Adjusted","Sort=A","Dates=H","DateFormat=P","Fill=—","Direction=H","UseDPDF=Y")</f>
        <v>5.3629999999999995</v>
      </c>
      <c r="K8" s="29">
        <f>_xll.BDH("ALGEV FP Equity","IS_OTHER_OPER_INC","FY 2019","FY 2019","Currency=EUR","Period=FY","BEST_FPERIOD_OVERRIDE=FY","FILING_STATUS=MR","SCALING_FORMAT=MLN","FA_ADJUSTED=Adjusted","Sort=A","Dates=H","DateFormat=P","Fill=—","Direction=H","UseDPDF=Y")</f>
        <v>5.6230000000000002</v>
      </c>
      <c r="L8" s="10">
        <v>6.07</v>
      </c>
    </row>
    <row r="9" spans="1:12" ht="14.45" x14ac:dyDescent="0.35">
      <c r="A9" s="11" t="s">
        <v>217</v>
      </c>
      <c r="B9" s="11" t="s">
        <v>218</v>
      </c>
      <c r="C9" s="29">
        <f>_xll.BDH("ALGEV FP Equity","IS_OPERATING_EXPN","FY 2011","FY 2011","Currency=EUR","Period=FY","BEST_FPERIOD_OVERRIDE=FY","FILING_STATUS=MR","SCALING_FORMAT=MLN","FA_ADJUSTED=Adjusted","Sort=A","Dates=H","DateFormat=P","Fill=—","Direction=H","UseDPDF=Y")</f>
        <v>200.00899999999999</v>
      </c>
      <c r="D9" s="29">
        <f>_xll.BDH("ALGEV FP Equity","IS_OPERATING_EXPN","FY 2012","FY 2012","Currency=EUR","Period=FY","BEST_FPERIOD_OVERRIDE=FY","FILING_STATUS=MR","SCALING_FORMAT=MLN","FA_ADJUSTED=Adjusted","Sort=A","Dates=H","DateFormat=P","Fill=—","Direction=H","UseDPDF=Y")</f>
        <v>217.86799999999999</v>
      </c>
      <c r="E9" s="29">
        <f>_xll.BDH("ALGEV FP Equity","IS_OPERATING_EXPN","FY 2013","FY 2013","Currency=EUR","Period=FY","BEST_FPERIOD_OVERRIDE=FY","FILING_STATUS=MR","SCALING_FORMAT=MLN","FA_ADJUSTED=Adjusted","Sort=A","Dates=H","DateFormat=P","Fill=—","Direction=H","UseDPDF=Y")</f>
        <v>195.60499999999999</v>
      </c>
      <c r="F9" s="29">
        <f>_xll.BDH("ALGEV FP Equity","IS_OPERATING_EXPN","FY 2014","FY 2014","Currency=EUR","Period=FY","BEST_FPERIOD_OVERRIDE=FY","FILING_STATUS=MR","SCALING_FORMAT=MLN","FA_ADJUSTED=Adjusted","Sort=A","Dates=H","DateFormat=P","Fill=—","Direction=H","UseDPDF=Y")</f>
        <v>208.124</v>
      </c>
      <c r="G9" s="29">
        <f>_xll.BDH("ALGEV FP Equity","IS_OPERATING_EXPN","FY 2015","FY 2015","Currency=EUR","Period=FY","BEST_FPERIOD_OVERRIDE=FY","FILING_STATUS=MR","SCALING_FORMAT=MLN","FA_ADJUSTED=Adjusted","Sort=A","Dates=H","DateFormat=P","Fill=—","Direction=H","UseDPDF=Y")</f>
        <v>212.41800000000001</v>
      </c>
      <c r="H9" s="29">
        <f>_xll.BDH("ALGEV FP Equity","IS_OPERATING_EXPN","FY 2016","FY 2016","Currency=EUR","Period=FY","BEST_FPERIOD_OVERRIDE=FY","FILING_STATUS=MR","SCALING_FORMAT=MLN","FA_ADJUSTED=Adjusted","Sort=A","Dates=H","DateFormat=P","Fill=—","Direction=H","UseDPDF=Y")</f>
        <v>100.586</v>
      </c>
      <c r="I9" s="29">
        <f>_xll.BDH("ALGEV FP Equity","IS_OPERATING_EXPN","FY 2017","FY 2017","Currency=EUR","Period=FY","BEST_FPERIOD_OVERRIDE=FY","FILING_STATUS=MR","SCALING_FORMAT=MLN","FA_ADJUSTED=Adjusted","Sort=A","Dates=H","DateFormat=P","Fill=—","Direction=H","UseDPDF=Y")</f>
        <v>113.592</v>
      </c>
      <c r="J9" s="29">
        <f>_xll.BDH("ALGEV FP Equity","IS_OPERATING_EXPN","FY 2018","FY 2018","Currency=EUR","Period=FY","BEST_FPERIOD_OVERRIDE=FY","FILING_STATUS=MR","SCALING_FORMAT=MLN","FA_ADJUSTED=Adjusted","Sort=A","Dates=H","DateFormat=P","Fill=—","Direction=H","UseDPDF=Y")</f>
        <v>92.099000000000004</v>
      </c>
      <c r="K9" s="29">
        <f>_xll.BDH("ALGEV FP Equity","IS_OPERATING_EXPN","FY 2019","FY 2019","Currency=EUR","Period=FY","BEST_FPERIOD_OVERRIDE=FY","FILING_STATUS=MR","SCALING_FORMAT=MLN","FA_ADJUSTED=Adjusted","Sort=A","Dates=H","DateFormat=P","Fill=—","Direction=H","UseDPDF=Y")</f>
        <v>100.79300000000001</v>
      </c>
      <c r="L9" s="10">
        <v>100.879</v>
      </c>
    </row>
    <row r="10" spans="1:12" x14ac:dyDescent="0.25">
      <c r="A10" s="11" t="s">
        <v>219</v>
      </c>
      <c r="B10" s="11" t="s">
        <v>220</v>
      </c>
      <c r="C10" s="29" t="str">
        <f>_xll.BDH("ALGEV FP Equity","IS_OPEX_R&amp;D","FY 2011","FY 2011","Currency=EUR","Period=FY","BEST_FPERIOD_OVERRIDE=FY","FILING_STATUS=MR","SCALING_FORMAT=MLN","Sort=A","Dates=H","DateFormat=P","Fill=—","Direction=H","UseDPDF=Y")</f>
        <v>—</v>
      </c>
      <c r="D10" s="29" t="str">
        <f>_xll.BDH("ALGEV FP Equity","IS_OPEX_R&amp;D","FY 2012","FY 2012","Currency=EUR","Period=FY","BEST_FPERIOD_OVERRIDE=FY","FILING_STATUS=MR","SCALING_FORMAT=MLN","Sort=A","Dates=H","DateFormat=P","Fill=—","Direction=H","UseDPDF=Y")</f>
        <v>—</v>
      </c>
      <c r="E10" s="29" t="str">
        <f>_xll.BDH("ALGEV FP Equity","IS_OPEX_R&amp;D","FY 2013","FY 2013","Currency=EUR","Period=FY","BEST_FPERIOD_OVERRIDE=FY","FILING_STATUS=MR","SCALING_FORMAT=MLN","Sort=A","Dates=H","DateFormat=P","Fill=—","Direction=H","UseDPDF=Y")</f>
        <v>—</v>
      </c>
      <c r="F10" s="29" t="str">
        <f>_xll.BDH("ALGEV FP Equity","IS_OPEX_R&amp;D","FY 2014","FY 2014","Currency=EUR","Period=FY","BEST_FPERIOD_OVERRIDE=FY","FILING_STATUS=MR","SCALING_FORMAT=MLN","Sort=A","Dates=H","DateFormat=P","Fill=—","Direction=H","UseDPDF=Y")</f>
        <v>—</v>
      </c>
      <c r="G10" s="29" t="str">
        <f>_xll.BDH("ALGEV FP Equity","IS_OPEX_R&amp;D","FY 2015","FY 2015","Currency=EUR","Period=FY","BEST_FPERIOD_OVERRIDE=FY","FILING_STATUS=MR","SCALING_FORMAT=MLN","Sort=A","Dates=H","DateFormat=P","Fill=—","Direction=H","UseDPDF=Y")</f>
        <v>—</v>
      </c>
      <c r="H10" s="29">
        <f>_xll.BDH("ALGEV FP Equity","IS_OPEX_R&amp;D","FY 2016","FY 2016","Currency=EUR","Period=FY","BEST_FPERIOD_OVERRIDE=FY","FILING_STATUS=MR","SCALING_FORMAT=MLN","Sort=A","Dates=H","DateFormat=P","Fill=—","Direction=H","UseDPDF=Y")</f>
        <v>4.08</v>
      </c>
      <c r="I10" s="29">
        <f>_xll.BDH("ALGEV FP Equity","IS_OPEX_R&amp;D","FY 2017","FY 2017","Currency=EUR","Period=FY","BEST_FPERIOD_OVERRIDE=FY","FILING_STATUS=MR","SCALING_FORMAT=MLN","Sort=A","Dates=H","DateFormat=P","Fill=—","Direction=H","UseDPDF=Y")</f>
        <v>1.8900000000000001</v>
      </c>
      <c r="J10" s="29">
        <f>_xll.BDH("ALGEV FP Equity","IS_OPEX_R&amp;D","FY 2018","FY 2018","Currency=EUR","Period=FY","BEST_FPERIOD_OVERRIDE=FY","FILING_STATUS=MR","SCALING_FORMAT=MLN","Sort=A","Dates=H","DateFormat=P","Fill=—","Direction=H","UseDPDF=Y")</f>
        <v>1.244</v>
      </c>
      <c r="K10" s="29">
        <f>_xll.BDH("ALGEV FP Equity","IS_OPEX_R&amp;D","FY 2019","FY 2019","Currency=EUR","Period=FY","BEST_FPERIOD_OVERRIDE=FY","FILING_STATUS=MR","SCALING_FORMAT=MLN","Sort=A","Dates=H","DateFormat=P","Fill=—","Direction=H","UseDPDF=Y")</f>
        <v>1.3759999999999999</v>
      </c>
      <c r="L10" s="10"/>
    </row>
    <row r="11" spans="1:12" ht="14.45" x14ac:dyDescent="0.35">
      <c r="A11" s="11" t="s">
        <v>221</v>
      </c>
      <c r="B11" s="11" t="s">
        <v>222</v>
      </c>
      <c r="C11" s="29" t="str">
        <f>_xll.BDH("ALGEV FP Equity","IS_OTHER_OPERATING_EXPENSES","FY 2011","FY 2011","Currency=EUR","Period=FY","BEST_FPERIOD_OVERRIDE=FY","FILING_STATUS=MR","SCALING_FORMAT=MLN","FA_ADJUSTED=Adjusted","Sort=A","Dates=H","DateFormat=P","Fill=—","Direction=H","UseDPDF=Y")</f>
        <v>—</v>
      </c>
      <c r="D11" s="29" t="str">
        <f>_xll.BDH("ALGEV FP Equity","IS_OTHER_OPERATING_EXPENSES","FY 2012","FY 2012","Currency=EUR","Period=FY","BEST_FPERIOD_OVERRIDE=FY","FILING_STATUS=MR","SCALING_FORMAT=MLN","FA_ADJUSTED=Adjusted","Sort=A","Dates=H","DateFormat=P","Fill=—","Direction=H","UseDPDF=Y")</f>
        <v>—</v>
      </c>
      <c r="E11" s="29" t="str">
        <f>_xll.BDH("ALGEV FP Equity","IS_OTHER_OPERATING_EXPENSES","FY 2013","FY 2013","Currency=EUR","Period=FY","BEST_FPERIOD_OVERRIDE=FY","FILING_STATUS=MR","SCALING_FORMAT=MLN","FA_ADJUSTED=Adjusted","Sort=A","Dates=H","DateFormat=P","Fill=—","Direction=H","UseDPDF=Y")</f>
        <v>—</v>
      </c>
      <c r="F11" s="29" t="str">
        <f>_xll.BDH("ALGEV FP Equity","IS_OTHER_OPERATING_EXPENSES","FY 2014","FY 2014","Currency=EUR","Period=FY","BEST_FPERIOD_OVERRIDE=FY","FILING_STATUS=MR","SCALING_FORMAT=MLN","FA_ADJUSTED=Adjusted","Sort=A","Dates=H","DateFormat=P","Fill=—","Direction=H","UseDPDF=Y")</f>
        <v>—</v>
      </c>
      <c r="G11" s="29" t="str">
        <f>_xll.BDH("ALGEV FP Equity","IS_OTHER_OPERATING_EXPENSES","FY 2015","FY 2015","Currency=EUR","Period=FY","BEST_FPERIOD_OVERRIDE=FY","FILING_STATUS=MR","SCALING_FORMAT=MLN","FA_ADJUSTED=Adjusted","Sort=A","Dates=H","DateFormat=P","Fill=—","Direction=H","UseDPDF=Y")</f>
        <v>—</v>
      </c>
      <c r="H11" s="29">
        <f>_xll.BDH("ALGEV FP Equity","IS_OTHER_OPERATING_EXPENSES","FY 2016","FY 2016","Currency=EUR","Period=FY","BEST_FPERIOD_OVERRIDE=FY","FILING_STATUS=MR","SCALING_FORMAT=MLN","FA_ADJUSTED=Adjusted","Sort=A","Dates=H","DateFormat=P","Fill=—","Direction=H","UseDPDF=Y")</f>
        <v>96.506</v>
      </c>
      <c r="I11" s="29">
        <f>_xll.BDH("ALGEV FP Equity","IS_OTHER_OPERATING_EXPENSES","FY 2017","FY 2017","Currency=EUR","Period=FY","BEST_FPERIOD_OVERRIDE=FY","FILING_STATUS=MR","SCALING_FORMAT=MLN","FA_ADJUSTED=Adjusted","Sort=A","Dates=H","DateFormat=P","Fill=—","Direction=H","UseDPDF=Y")</f>
        <v>111.702</v>
      </c>
      <c r="J11" s="29">
        <f>_xll.BDH("ALGEV FP Equity","IS_OTHER_OPERATING_EXPENSES","FY 2018","FY 2018","Currency=EUR","Period=FY","BEST_FPERIOD_OVERRIDE=FY","FILING_STATUS=MR","SCALING_FORMAT=MLN","FA_ADJUSTED=Adjusted","Sort=A","Dates=H","DateFormat=P","Fill=—","Direction=H","UseDPDF=Y")</f>
        <v>90.855000000000004</v>
      </c>
      <c r="K11" s="29">
        <f>_xll.BDH("ALGEV FP Equity","IS_OTHER_OPERATING_EXPENSES","FY 2019","FY 2019","Currency=EUR","Period=FY","BEST_FPERIOD_OVERRIDE=FY","FILING_STATUS=MR","SCALING_FORMAT=MLN","FA_ADJUSTED=Adjusted","Sort=A","Dates=H","DateFormat=P","Fill=—","Direction=H","UseDPDF=Y")</f>
        <v>99.417000000000002</v>
      </c>
      <c r="L11" s="10">
        <v>100.879</v>
      </c>
    </row>
    <row r="12" spans="1:12" x14ac:dyDescent="0.25">
      <c r="A12" s="13" t="s">
        <v>223</v>
      </c>
      <c r="B12" s="13" t="s">
        <v>224</v>
      </c>
      <c r="C12" s="32">
        <f>_xll.BDH("ALGEV FP Equity","IS_OPER_INC","FY 2011","FY 2011","Currency=EUR","Period=FY","BEST_FPERIOD_OVERRIDE=FY","FILING_STATUS=MR","SCALING_FORMAT=MLN","FA_ADJUSTED=Adjusted","Sort=A","Dates=H","DateFormat=P","Fill=—","Direction=H","UseDPDF=Y")</f>
        <v>20.774999999999999</v>
      </c>
      <c r="D12" s="32">
        <f>_xll.BDH("ALGEV FP Equity","IS_OPER_INC","FY 2012","FY 2012","Currency=EUR","Period=FY","BEST_FPERIOD_OVERRIDE=FY","FILING_STATUS=MR","SCALING_FORMAT=MLN","FA_ADJUSTED=Adjusted","Sort=A","Dates=H","DateFormat=P","Fill=—","Direction=H","UseDPDF=Y")</f>
        <v>-12.113</v>
      </c>
      <c r="E12" s="32">
        <f>_xll.BDH("ALGEV FP Equity","IS_OPER_INC","FY 2013","FY 2013","Currency=EUR","Period=FY","BEST_FPERIOD_OVERRIDE=FY","FILING_STATUS=MR","SCALING_FORMAT=MLN","FA_ADJUSTED=Adjusted","Sort=A","Dates=H","DateFormat=P","Fill=—","Direction=H","UseDPDF=Y")</f>
        <v>6.2190000000000003</v>
      </c>
      <c r="F12" s="32">
        <f>_xll.BDH("ALGEV FP Equity","IS_OPER_INC","FY 2014","FY 2014","Currency=EUR","Period=FY","BEST_FPERIOD_OVERRIDE=FY","FILING_STATUS=MR","SCALING_FORMAT=MLN","FA_ADJUSTED=Adjusted","Sort=A","Dates=H","DateFormat=P","Fill=—","Direction=H","UseDPDF=Y")</f>
        <v>73.010999999999996</v>
      </c>
      <c r="G12" s="32">
        <f>_xll.BDH("ALGEV FP Equity","IS_OPER_INC","FY 2015","FY 2015","Currency=EUR","Period=FY","BEST_FPERIOD_OVERRIDE=FY","FILING_STATUS=MR","SCALING_FORMAT=MLN","FA_ADJUSTED=Adjusted","Sort=A","Dates=H","DateFormat=P","Fill=—","Direction=H","UseDPDF=Y")</f>
        <v>3.2490000000000001</v>
      </c>
      <c r="H12" s="32">
        <f>_xll.BDH("ALGEV FP Equity","IS_OPER_INC","FY 2016","FY 2016","Currency=EUR","Period=FY","BEST_FPERIOD_OVERRIDE=FY","FILING_STATUS=MR","SCALING_FORMAT=MLN","FA_ADJUSTED=Adjusted","Sort=A","Dates=H","DateFormat=P","Fill=—","Direction=H","UseDPDF=Y")</f>
        <v>5.8179999999999996</v>
      </c>
      <c r="I12" s="32">
        <f>_xll.BDH("ALGEV FP Equity","IS_OPER_INC","FY 2017","FY 2017","Currency=EUR","Period=FY","BEST_FPERIOD_OVERRIDE=FY","FILING_STATUS=MR","SCALING_FORMAT=MLN","FA_ADJUSTED=Adjusted","Sort=A","Dates=H","DateFormat=P","Fill=—","Direction=H","UseDPDF=Y")</f>
        <v>3.5049999999999999</v>
      </c>
      <c r="J12" s="32">
        <f>_xll.BDH("ALGEV FP Equity","IS_OPER_INC","FY 2018","FY 2018","Currency=EUR","Period=FY","BEST_FPERIOD_OVERRIDE=FY","FILING_STATUS=MR","SCALING_FORMAT=MLN","FA_ADJUSTED=Adjusted","Sort=A","Dates=H","DateFormat=P","Fill=—","Direction=H","UseDPDF=Y")</f>
        <v>7.4889999999999999</v>
      </c>
      <c r="K12" s="32">
        <f>_xll.BDH("ALGEV FP Equity","IS_OPER_INC","FY 2019","FY 2019","Currency=EUR","Period=FY","BEST_FPERIOD_OVERRIDE=FY","FILING_STATUS=MR","SCALING_FORMAT=MLN","FA_ADJUSTED=Adjusted","Sort=A","Dates=H","DateFormat=P","Fill=—","Direction=H","UseDPDF=Y")</f>
        <v>8.56</v>
      </c>
      <c r="L12" s="12">
        <v>1.831</v>
      </c>
    </row>
    <row r="13" spans="1:12" x14ac:dyDescent="0.25">
      <c r="A13" s="11" t="s">
        <v>225</v>
      </c>
      <c r="B13" s="11" t="s">
        <v>226</v>
      </c>
      <c r="C13" s="29" t="str">
        <f>_xll.BDH("ALGEV FP Equity","IS_NONOP_INCOME_LOSS","FY 2011","FY 2011","Currency=EUR","Period=FY","BEST_FPERIOD_OVERRIDE=FY","FILING_STATUS=MR","SCALING_FORMAT=MLN","FA_ADJUSTED=Adjusted","Sort=A","Dates=H","DateFormat=P","Fill=—","Direction=H","UseDPDF=Y")</f>
        <v>—</v>
      </c>
      <c r="D13" s="29" t="str">
        <f>_xll.BDH("ALGEV FP Equity","IS_NONOP_INCOME_LOSS","FY 2012","FY 2012","Currency=EUR","Period=FY","BEST_FPERIOD_OVERRIDE=FY","FILING_STATUS=MR","SCALING_FORMAT=MLN","FA_ADJUSTED=Adjusted","Sort=A","Dates=H","DateFormat=P","Fill=—","Direction=H","UseDPDF=Y")</f>
        <v>—</v>
      </c>
      <c r="E13" s="29" t="str">
        <f>_xll.BDH("ALGEV FP Equity","IS_NONOP_INCOME_LOSS","FY 2013","FY 2013","Currency=EUR","Period=FY","BEST_FPERIOD_OVERRIDE=FY","FILING_STATUS=MR","SCALING_FORMAT=MLN","FA_ADJUSTED=Adjusted","Sort=A","Dates=H","DateFormat=P","Fill=—","Direction=H","UseDPDF=Y")</f>
        <v>—</v>
      </c>
      <c r="F13" s="29" t="str">
        <f>_xll.BDH("ALGEV FP Equity","IS_NONOP_INCOME_LOSS","FY 2014","FY 2014","Currency=EUR","Period=FY","BEST_FPERIOD_OVERRIDE=FY","FILING_STATUS=MR","SCALING_FORMAT=MLN","FA_ADJUSTED=Adjusted","Sort=A","Dates=H","DateFormat=P","Fill=—","Direction=H","UseDPDF=Y")</f>
        <v>—</v>
      </c>
      <c r="G13" s="29" t="str">
        <f>_xll.BDH("ALGEV FP Equity","IS_NONOP_INCOME_LOSS","FY 2015","FY 2015","Currency=EUR","Period=FY","BEST_FPERIOD_OVERRIDE=FY","FILING_STATUS=MR","SCALING_FORMAT=MLN","FA_ADJUSTED=Adjusted","Sort=A","Dates=H","DateFormat=P","Fill=—","Direction=H","UseDPDF=Y")</f>
        <v>—</v>
      </c>
      <c r="H13" s="29">
        <f>_xll.BDH("ALGEV FP Equity","IS_NONOP_INCOME_LOSS","FY 2016","FY 2016","Currency=EUR","Period=FY","BEST_FPERIOD_OVERRIDE=FY","FILING_STATUS=MR","SCALING_FORMAT=MLN","FA_ADJUSTED=Adjusted","Sort=A","Dates=H","DateFormat=P","Fill=—","Direction=H","UseDPDF=Y")</f>
        <v>-1.1619999999999999</v>
      </c>
      <c r="I13" s="29">
        <f>_xll.BDH("ALGEV FP Equity","IS_NONOP_INCOME_LOSS","FY 2017","FY 2017","Currency=EUR","Period=FY","BEST_FPERIOD_OVERRIDE=FY","FILING_STATUS=MR","SCALING_FORMAT=MLN","FA_ADJUSTED=Adjusted","Sort=A","Dates=H","DateFormat=P","Fill=—","Direction=H","UseDPDF=Y")</f>
        <v>1.8120000000000001</v>
      </c>
      <c r="J13" s="29">
        <f>_xll.BDH("ALGEV FP Equity","IS_NONOP_INCOME_LOSS","FY 2018","FY 2018","Currency=EUR","Period=FY","BEST_FPERIOD_OVERRIDE=FY","FILING_STATUS=MR","SCALING_FORMAT=MLN","FA_ADJUSTED=Adjusted","Sort=A","Dates=H","DateFormat=P","Fill=—","Direction=H","UseDPDF=Y")</f>
        <v>-3.5000000000000003E-2</v>
      </c>
      <c r="K13" s="29">
        <f>_xll.BDH("ALGEV FP Equity","IS_NONOP_INCOME_LOSS","FY 2019","FY 2019","Currency=EUR","Period=FY","BEST_FPERIOD_OVERRIDE=FY","FILING_STATUS=MR","SCALING_FORMAT=MLN","FA_ADJUSTED=Adjusted","Sort=A","Dates=H","DateFormat=P","Fill=—","Direction=H","UseDPDF=Y")</f>
        <v>-1.2370000000000001</v>
      </c>
      <c r="L13" s="10">
        <v>0.62</v>
      </c>
    </row>
    <row r="14" spans="1:12" x14ac:dyDescent="0.25">
      <c r="A14" s="11" t="s">
        <v>227</v>
      </c>
      <c r="B14" s="11" t="s">
        <v>228</v>
      </c>
      <c r="C14" s="29" t="str">
        <f>_xll.BDH("ALGEV FP Equity","IS_NET_INTEREST_EXPENSE","FY 2011","FY 2011","Currency=EUR","Period=FY","BEST_FPERIOD_OVERRIDE=FY","FILING_STATUS=MR","SCALING_FORMAT=MLN","FA_ADJUSTED=Adjusted","Sort=A","Dates=H","DateFormat=P","Fill=—","Direction=H","UseDPDF=Y")</f>
        <v>—</v>
      </c>
      <c r="D14" s="29">
        <f>_xll.BDH("ALGEV FP Equity","IS_NET_INTEREST_EXPENSE","FY 2012","FY 2012","Currency=EUR","Period=FY","BEST_FPERIOD_OVERRIDE=FY","FILING_STATUS=MR","SCALING_FORMAT=MLN","FA_ADJUSTED=Adjusted","Sort=A","Dates=H","DateFormat=P","Fill=—","Direction=H","UseDPDF=Y")</f>
        <v>0</v>
      </c>
      <c r="E14" s="29">
        <f>_xll.BDH("ALGEV FP Equity","IS_NET_INTEREST_EXPENSE","FY 2013","FY 2013","Currency=EUR","Period=FY","BEST_FPERIOD_OVERRIDE=FY","FILING_STATUS=MR","SCALING_FORMAT=MLN","FA_ADJUSTED=Adjusted","Sort=A","Dates=H","DateFormat=P","Fill=—","Direction=H","UseDPDF=Y")</f>
        <v>3.4000000000000002E-2</v>
      </c>
      <c r="F14" s="29">
        <f>_xll.BDH("ALGEV FP Equity","IS_NET_INTEREST_EXPENSE","FY 2014","FY 2014","Currency=EUR","Period=FY","BEST_FPERIOD_OVERRIDE=FY","FILING_STATUS=MR","SCALING_FORMAT=MLN","FA_ADJUSTED=Adjusted","Sort=A","Dates=H","DateFormat=P","Fill=—","Direction=H","UseDPDF=Y")</f>
        <v>-0.41399999999999998</v>
      </c>
      <c r="G14" s="29">
        <f>_xll.BDH("ALGEV FP Equity","IS_NET_INTEREST_EXPENSE","FY 2015","FY 2015","Currency=EUR","Period=FY","BEST_FPERIOD_OVERRIDE=FY","FILING_STATUS=MR","SCALING_FORMAT=MLN","FA_ADJUSTED=Adjusted","Sort=A","Dates=H","DateFormat=P","Fill=—","Direction=H","UseDPDF=Y")</f>
        <v>-0.496</v>
      </c>
      <c r="H14" s="29">
        <f>_xll.BDH("ALGEV FP Equity","IS_NET_INTEREST_EXPENSE","FY 2016","FY 2016","Currency=EUR","Period=FY","BEST_FPERIOD_OVERRIDE=FY","FILING_STATUS=MR","SCALING_FORMAT=MLN","FA_ADJUSTED=Adjusted","Sort=A","Dates=H","DateFormat=P","Fill=—","Direction=H","UseDPDF=Y")</f>
        <v>-5.5E-2</v>
      </c>
      <c r="I14" s="29">
        <f>_xll.BDH("ALGEV FP Equity","IS_NET_INTEREST_EXPENSE","FY 2017","FY 2017","Currency=EUR","Period=FY","BEST_FPERIOD_OVERRIDE=FY","FILING_STATUS=MR","SCALING_FORMAT=MLN","FA_ADJUSTED=Adjusted","Sort=A","Dates=H","DateFormat=P","Fill=—","Direction=H","UseDPDF=Y")</f>
        <v>-0.104</v>
      </c>
      <c r="J14" s="29">
        <f>_xll.BDH("ALGEV FP Equity","IS_NET_INTEREST_EXPENSE","FY 2018","FY 2018","Currency=EUR","Period=FY","BEST_FPERIOD_OVERRIDE=FY","FILING_STATUS=MR","SCALING_FORMAT=MLN","FA_ADJUSTED=Adjusted","Sort=A","Dates=H","DateFormat=P","Fill=—","Direction=H","UseDPDF=Y")</f>
        <v>-0.17899999999999999</v>
      </c>
      <c r="K14" s="29">
        <f>_xll.BDH("ALGEV FP Equity","IS_NET_INTEREST_EXPENSE","FY 2019","FY 2019","Currency=EUR","Period=FY","BEST_FPERIOD_OVERRIDE=FY","FILING_STATUS=MR","SCALING_FORMAT=MLN","FA_ADJUSTED=Adjusted","Sort=A","Dates=H","DateFormat=P","Fill=—","Direction=H","UseDPDF=Y")</f>
        <v>-0.40799999999999997</v>
      </c>
      <c r="L14" s="10">
        <v>0.26100000000000001</v>
      </c>
    </row>
    <row r="15" spans="1:12" x14ac:dyDescent="0.25">
      <c r="A15" s="9" t="s">
        <v>229</v>
      </c>
      <c r="B15" s="9" t="s">
        <v>230</v>
      </c>
      <c r="C15" s="33">
        <f>_xll.BDH("ALGEV FP Equity","IS_INT_EXPENSE","FY 2011","FY 2011","Currency=EUR","Period=FY","BEST_FPERIOD_OVERRIDE=FY","FILING_STATUS=MR","SCALING_FORMAT=MLN","FA_ADJUSTED=Adjusted","Sort=A","Dates=H","DateFormat=P","Fill=—","Direction=H","UseDPDF=Y")</f>
        <v>0.627</v>
      </c>
      <c r="D15" s="33">
        <f>_xll.BDH("ALGEV FP Equity","IS_INT_EXPENSE","FY 2012","FY 2012","Currency=EUR","Period=FY","BEST_FPERIOD_OVERRIDE=FY","FILING_STATUS=MR","SCALING_FORMAT=MLN","FA_ADJUSTED=Adjusted","Sort=A","Dates=H","DateFormat=P","Fill=—","Direction=H","UseDPDF=Y")</f>
        <v>0.35899999999999999</v>
      </c>
      <c r="E15" s="33">
        <f>_xll.BDH("ALGEV FP Equity","IS_INT_EXPENSE","FY 2013","FY 2013","Currency=EUR","Period=FY","BEST_FPERIOD_OVERRIDE=FY","FILING_STATUS=MR","SCALING_FORMAT=MLN","FA_ADJUSTED=Adjusted","Sort=A","Dates=H","DateFormat=P","Fill=—","Direction=H","UseDPDF=Y")</f>
        <v>0.36199999999999999</v>
      </c>
      <c r="F15" s="33">
        <f>_xll.BDH("ALGEV FP Equity","IS_INT_EXPENSE","FY 2014","FY 2014","Currency=EUR","Period=FY","BEST_FPERIOD_OVERRIDE=FY","FILING_STATUS=MR","SCALING_FORMAT=MLN","FA_ADJUSTED=Adjusted","Sort=A","Dates=H","DateFormat=P","Fill=—","Direction=H","UseDPDF=Y")</f>
        <v>0.51300000000000001</v>
      </c>
      <c r="G15" s="33">
        <f>_xll.BDH("ALGEV FP Equity","IS_INT_EXPENSE","FY 2015","FY 2015","Currency=EUR","Period=FY","BEST_FPERIOD_OVERRIDE=FY","FILING_STATUS=MR","SCALING_FORMAT=MLN","FA_ADJUSTED=Adjusted","Sort=A","Dates=H","DateFormat=P","Fill=—","Direction=H","UseDPDF=Y")</f>
        <v>0.39800000000000002</v>
      </c>
      <c r="H15" s="33">
        <f>_xll.BDH("ALGEV FP Equity","IS_INT_EXPENSE","FY 2016","FY 2016","Currency=EUR","Period=FY","BEST_FPERIOD_OVERRIDE=FY","FILING_STATUS=MR","SCALING_FORMAT=MLN","FA_ADJUSTED=Adjusted","Sort=A","Dates=H","DateFormat=P","Fill=—","Direction=H","UseDPDF=Y")</f>
        <v>0.318</v>
      </c>
      <c r="I15" s="33">
        <f>_xll.BDH("ALGEV FP Equity","IS_INT_EXPENSE","FY 2017","FY 2017","Currency=EUR","Period=FY","BEST_FPERIOD_OVERRIDE=FY","FILING_STATUS=MR","SCALING_FORMAT=MLN","FA_ADJUSTED=Adjusted","Sort=A","Dates=H","DateFormat=P","Fill=—","Direction=H","UseDPDF=Y")</f>
        <v>0.184</v>
      </c>
      <c r="J15" s="33">
        <f>_xll.BDH("ALGEV FP Equity","IS_INT_EXPENSE","FY 2018","FY 2018","Currency=EUR","Period=FY","BEST_FPERIOD_OVERRIDE=FY","FILING_STATUS=MR","SCALING_FORMAT=MLN","FA_ADJUSTED=Adjusted","Sort=A","Dates=H","DateFormat=P","Fill=—","Direction=H","UseDPDF=Y")</f>
        <v>0.216</v>
      </c>
      <c r="K15" s="33">
        <f>_xll.BDH("ALGEV FP Equity","IS_INT_EXPENSE","FY 2019","FY 2019","Currency=EUR","Period=FY","BEST_FPERIOD_OVERRIDE=FY","FILING_STATUS=MR","SCALING_FORMAT=MLN","FA_ADJUSTED=Adjusted","Sort=A","Dates=H","DateFormat=P","Fill=—","Direction=H","UseDPDF=Y")</f>
        <v>0.21199999999999999</v>
      </c>
      <c r="L15" s="8">
        <v>0.55000000000000004</v>
      </c>
    </row>
    <row r="16" spans="1:12" x14ac:dyDescent="0.25">
      <c r="A16" s="9" t="s">
        <v>231</v>
      </c>
      <c r="B16" s="9" t="s">
        <v>232</v>
      </c>
      <c r="C16" s="33">
        <f>_xll.BDH("ALGEV FP Equity","IS_INT_INC","FY 2011","FY 2011","Currency=EUR","Period=FY","BEST_FPERIOD_OVERRIDE=FY","FILING_STATUS=MR","SCALING_FORMAT=MLN","FA_ADJUSTED=Adjusted","Sort=A","Dates=H","DateFormat=P","Fill=—","Direction=H","UseDPDF=Y")</f>
        <v>0.3</v>
      </c>
      <c r="D16" s="33">
        <f>_xll.BDH("ALGEV FP Equity","IS_INT_INC","FY 2012","FY 2012","Currency=EUR","Period=FY","BEST_FPERIOD_OVERRIDE=FY","FILING_STATUS=MR","SCALING_FORMAT=MLN","FA_ADJUSTED=Adjusted","Sort=A","Dates=H","DateFormat=P","Fill=—","Direction=H","UseDPDF=Y")</f>
        <v>0.35899999999999999</v>
      </c>
      <c r="E16" s="33">
        <f>_xll.BDH("ALGEV FP Equity","IS_INT_INC","FY 2013","FY 2013","Currency=EUR","Period=FY","BEST_FPERIOD_OVERRIDE=FY","FILING_STATUS=MR","SCALING_FORMAT=MLN","FA_ADJUSTED=Adjusted","Sort=A","Dates=H","DateFormat=P","Fill=—","Direction=H","UseDPDF=Y")</f>
        <v>0.32800000000000001</v>
      </c>
      <c r="F16" s="33">
        <f>_xll.BDH("ALGEV FP Equity","IS_INT_INC","FY 2014","FY 2014","Currency=EUR","Period=FY","BEST_FPERIOD_OVERRIDE=FY","FILING_STATUS=MR","SCALING_FORMAT=MLN","FA_ADJUSTED=Adjusted","Sort=A","Dates=H","DateFormat=P","Fill=—","Direction=H","UseDPDF=Y")</f>
        <v>0.92700000000000005</v>
      </c>
      <c r="G16" s="33">
        <f>_xll.BDH("ALGEV FP Equity","IS_INT_INC","FY 2015","FY 2015","Currency=EUR","Period=FY","BEST_FPERIOD_OVERRIDE=FY","FILING_STATUS=MR","SCALING_FORMAT=MLN","FA_ADJUSTED=Adjusted","Sort=A","Dates=H","DateFormat=P","Fill=—","Direction=H","UseDPDF=Y")</f>
        <v>0.89400000000000002</v>
      </c>
      <c r="H16" s="33">
        <f>_xll.BDH("ALGEV FP Equity","IS_INT_INC","FY 2016","FY 2016","Currency=EUR","Period=FY","BEST_FPERIOD_OVERRIDE=FY","FILING_STATUS=MR","SCALING_FORMAT=MLN","FA_ADJUSTED=Adjusted","Sort=A","Dates=H","DateFormat=P","Fill=—","Direction=H","UseDPDF=Y")</f>
        <v>0.373</v>
      </c>
      <c r="I16" s="33">
        <f>_xll.BDH("ALGEV FP Equity","IS_INT_INC","FY 2017","FY 2017","Currency=EUR","Period=FY","BEST_FPERIOD_OVERRIDE=FY","FILING_STATUS=MR","SCALING_FORMAT=MLN","FA_ADJUSTED=Adjusted","Sort=A","Dates=H","DateFormat=P","Fill=—","Direction=H","UseDPDF=Y")</f>
        <v>0.28799999999999998</v>
      </c>
      <c r="J16" s="33">
        <f>_xll.BDH("ALGEV FP Equity","IS_INT_INC","FY 2018","FY 2018","Currency=EUR","Period=FY","BEST_FPERIOD_OVERRIDE=FY","FILING_STATUS=MR","SCALING_FORMAT=MLN","FA_ADJUSTED=Adjusted","Sort=A","Dates=H","DateFormat=P","Fill=—","Direction=H","UseDPDF=Y")</f>
        <v>0.39500000000000002</v>
      </c>
      <c r="K16" s="33">
        <f>_xll.BDH("ALGEV FP Equity","IS_INT_INC","FY 2019","FY 2019","Currency=EUR","Period=FY","BEST_FPERIOD_OVERRIDE=FY","FILING_STATUS=MR","SCALING_FORMAT=MLN","FA_ADJUSTED=Adjusted","Sort=A","Dates=H","DateFormat=P","Fill=—","Direction=H","UseDPDF=Y")</f>
        <v>0.62</v>
      </c>
      <c r="L16" s="8">
        <v>0.28899999999999998</v>
      </c>
    </row>
    <row r="17" spans="1:12" ht="14.45" x14ac:dyDescent="0.35">
      <c r="A17" s="11" t="s">
        <v>233</v>
      </c>
      <c r="B17" s="11" t="s">
        <v>234</v>
      </c>
      <c r="C17" s="29">
        <f>_xll.BDH("ALGEV FP Equity","IS_FOREIGN_EXCH_LOSS","FY 2011","FY 2011","Currency=EUR","Period=FY","BEST_FPERIOD_OVERRIDE=FY","FILING_STATUS=MR","SCALING_FORMAT=MLN","FA_ADJUSTED=Adjusted","Sort=A","Dates=H","DateFormat=P","Fill=—","Direction=H","UseDPDF=Y")</f>
        <v>0.34399999999999997</v>
      </c>
      <c r="D17" s="29">
        <f>_xll.BDH("ALGEV FP Equity","IS_FOREIGN_EXCH_LOSS","FY 2012","FY 2012","Currency=EUR","Period=FY","BEST_FPERIOD_OVERRIDE=FY","FILING_STATUS=MR","SCALING_FORMAT=MLN","FA_ADJUSTED=Adjusted","Sort=A","Dates=H","DateFormat=P","Fill=—","Direction=H","UseDPDF=Y")</f>
        <v>0.14699999999999999</v>
      </c>
      <c r="E17" s="29" t="str">
        <f>_xll.BDH("ALGEV FP Equity","IS_FOREIGN_EXCH_LOSS","FY 2013","FY 2013","Currency=EUR","Period=FY","BEST_FPERIOD_OVERRIDE=FY","FILING_STATUS=MR","SCALING_FORMAT=MLN","FA_ADJUSTED=Adjusted","Sort=A","Dates=H","DateFormat=P","Fill=—","Direction=H","UseDPDF=Y")</f>
        <v>—</v>
      </c>
      <c r="F17" s="29" t="str">
        <f>_xll.BDH("ALGEV FP Equity","IS_FOREIGN_EXCH_LOSS","FY 2014","FY 2014","Currency=EUR","Period=FY","BEST_FPERIOD_OVERRIDE=FY","FILING_STATUS=MR","SCALING_FORMAT=MLN","FA_ADJUSTED=Adjusted","Sort=A","Dates=H","DateFormat=P","Fill=—","Direction=H","UseDPDF=Y")</f>
        <v>—</v>
      </c>
      <c r="G17" s="29">
        <f>_xll.BDH("ALGEV FP Equity","IS_FOREIGN_EXCH_LOSS","FY 2015","FY 2015","Currency=EUR","Period=FY","BEST_FPERIOD_OVERRIDE=FY","FILING_STATUS=MR","SCALING_FORMAT=MLN","FA_ADJUSTED=Adjusted","Sort=A","Dates=H","DateFormat=P","Fill=—","Direction=H","UseDPDF=Y")</f>
        <v>2.875</v>
      </c>
      <c r="H17" s="29">
        <f>_xll.BDH("ALGEV FP Equity","IS_FOREIGN_EXCH_LOSS","FY 2016","FY 2016","Currency=EUR","Period=FY","BEST_FPERIOD_OVERRIDE=FY","FILING_STATUS=MR","SCALING_FORMAT=MLN","FA_ADJUSTED=Adjusted","Sort=A","Dates=H","DateFormat=P","Fill=—","Direction=H","UseDPDF=Y")</f>
        <v>-0.70199999999999996</v>
      </c>
      <c r="I17" s="29">
        <f>_xll.BDH("ALGEV FP Equity","IS_FOREIGN_EXCH_LOSS","FY 2017","FY 2017","Currency=EUR","Period=FY","BEST_FPERIOD_OVERRIDE=FY","FILING_STATUS=MR","SCALING_FORMAT=MLN","FA_ADJUSTED=Adjusted","Sort=A","Dates=H","DateFormat=P","Fill=—","Direction=H","UseDPDF=Y")</f>
        <v>1.194</v>
      </c>
      <c r="J17" s="29">
        <f>_xll.BDH("ALGEV FP Equity","IS_FOREIGN_EXCH_LOSS","FY 2018","FY 2018","Currency=EUR","Period=FY","BEST_FPERIOD_OVERRIDE=FY","FILING_STATUS=MR","SCALING_FORMAT=MLN","FA_ADJUSTED=Adjusted","Sort=A","Dates=H","DateFormat=P","Fill=—","Direction=H","UseDPDF=Y")</f>
        <v>0.11600000000000001</v>
      </c>
      <c r="K17" s="29">
        <f>_xll.BDH("ALGEV FP Equity","IS_FOREIGN_EXCH_LOSS","FY 2019","FY 2019","Currency=EUR","Period=FY","BEST_FPERIOD_OVERRIDE=FY","FILING_STATUS=MR","SCALING_FORMAT=MLN","FA_ADJUSTED=Adjusted","Sort=A","Dates=H","DateFormat=P","Fill=—","Direction=H","UseDPDF=Y")</f>
        <v>-1.8080000000000001</v>
      </c>
      <c r="L17" s="10"/>
    </row>
    <row r="18" spans="1:12" x14ac:dyDescent="0.25">
      <c r="A18" s="11" t="s">
        <v>235</v>
      </c>
      <c r="B18" s="11" t="s">
        <v>236</v>
      </c>
      <c r="C18" s="29" t="str">
        <f>_xll.BDH("ALGEV FP Equity","INCOME_LOSS_FROM_AFFILIATES","FY 2011","FY 2011","Currency=EUR","Period=FY","BEST_FPERIOD_OVERRIDE=FY","FILING_STATUS=MR","SCALING_FORMAT=MLN","FA_ADJUSTED=Adjusted","Sort=A","Dates=H","DateFormat=P","Fill=—","Direction=H","UseDPDF=Y")</f>
        <v>—</v>
      </c>
      <c r="D18" s="29" t="str">
        <f>_xll.BDH("ALGEV FP Equity","INCOME_LOSS_FROM_AFFILIATES","FY 2012","FY 2012","Currency=EUR","Period=FY","BEST_FPERIOD_OVERRIDE=FY","FILING_STATUS=MR","SCALING_FORMAT=MLN","FA_ADJUSTED=Adjusted","Sort=A","Dates=H","DateFormat=P","Fill=—","Direction=H","UseDPDF=Y")</f>
        <v>—</v>
      </c>
      <c r="E18" s="29" t="str">
        <f>_xll.BDH("ALGEV FP Equity","INCOME_LOSS_FROM_AFFILIATES","FY 2013","FY 2013","Currency=EUR","Period=FY","BEST_FPERIOD_OVERRIDE=FY","FILING_STATUS=MR","SCALING_FORMAT=MLN","FA_ADJUSTED=Adjusted","Sort=A","Dates=H","DateFormat=P","Fill=—","Direction=H","UseDPDF=Y")</f>
        <v>—</v>
      </c>
      <c r="F18" s="29" t="str">
        <f>_xll.BDH("ALGEV FP Equity","INCOME_LOSS_FROM_AFFILIATES","FY 2014","FY 2014","Currency=EUR","Period=FY","BEST_FPERIOD_OVERRIDE=FY","FILING_STATUS=MR","SCALING_FORMAT=MLN","FA_ADJUSTED=Adjusted","Sort=A","Dates=H","DateFormat=P","Fill=—","Direction=H","UseDPDF=Y")</f>
        <v>—</v>
      </c>
      <c r="G18" s="29" t="str">
        <f>_xll.BDH("ALGEV FP Equity","INCOME_LOSS_FROM_AFFILIATES","FY 2015","FY 2015","Currency=EUR","Period=FY","BEST_FPERIOD_OVERRIDE=FY","FILING_STATUS=MR","SCALING_FORMAT=MLN","FA_ADJUSTED=Adjusted","Sort=A","Dates=H","DateFormat=P","Fill=—","Direction=H","UseDPDF=Y")</f>
        <v>—</v>
      </c>
      <c r="H18" s="29" t="str">
        <f>_xll.BDH("ALGEV FP Equity","INCOME_LOSS_FROM_AFFILIATES","FY 2016","FY 2016","Currency=EUR","Period=FY","BEST_FPERIOD_OVERRIDE=FY","FILING_STATUS=MR","SCALING_FORMAT=MLN","FA_ADJUSTED=Adjusted","Sort=A","Dates=H","DateFormat=P","Fill=—","Direction=H","UseDPDF=Y")</f>
        <v>—</v>
      </c>
      <c r="I18" s="29" t="str">
        <f>_xll.BDH("ALGEV FP Equity","INCOME_LOSS_FROM_AFFILIATES","FY 2017","FY 2017","Currency=EUR","Period=FY","BEST_FPERIOD_OVERRIDE=FY","FILING_STATUS=MR","SCALING_FORMAT=MLN","FA_ADJUSTED=Adjusted","Sort=A","Dates=H","DateFormat=P","Fill=—","Direction=H","UseDPDF=Y")</f>
        <v>—</v>
      </c>
      <c r="J18" s="29" t="str">
        <f>_xll.BDH("ALGEV FP Equity","INCOME_LOSS_FROM_AFFILIATES","FY 2018","FY 2018","Currency=EUR","Period=FY","BEST_FPERIOD_OVERRIDE=FY","FILING_STATUS=MR","SCALING_FORMAT=MLN","FA_ADJUSTED=Adjusted","Sort=A","Dates=H","DateFormat=P","Fill=—","Direction=H","UseDPDF=Y")</f>
        <v>—</v>
      </c>
      <c r="K18" s="29" t="str">
        <f>_xll.BDH("ALGEV FP Equity","INCOME_LOSS_FROM_AFFILIATES","FY 2019","FY 2019","Currency=EUR","Period=FY","BEST_FPERIOD_OVERRIDE=FY","FILING_STATUS=MR","SCALING_FORMAT=MLN","FA_ADJUSTED=Adjusted","Sort=A","Dates=H","DateFormat=P","Fill=—","Direction=H","UseDPDF=Y")</f>
        <v>—</v>
      </c>
      <c r="L18" s="10"/>
    </row>
    <row r="19" spans="1:12" ht="14.45" x14ac:dyDescent="0.35">
      <c r="A19" s="11" t="s">
        <v>237</v>
      </c>
      <c r="B19" s="11" t="s">
        <v>238</v>
      </c>
      <c r="C19" s="29" t="str">
        <f>_xll.BDH("ALGEV FP Equity","IS_OTHER_NON_OPERATING_INC_LOSS","FY 2011","FY 2011","Currency=EUR","Period=FY","BEST_FPERIOD_OVERRIDE=FY","FILING_STATUS=MR","SCALING_FORMAT=MLN","FA_ADJUSTED=Adjusted","Sort=A","Dates=H","DateFormat=P","Fill=—","Direction=H","UseDPDF=Y")</f>
        <v>—</v>
      </c>
      <c r="D19" s="29" t="str">
        <f>_xll.BDH("ALGEV FP Equity","IS_OTHER_NON_OPERATING_INC_LOSS","FY 2012","FY 2012","Currency=EUR","Period=FY","BEST_FPERIOD_OVERRIDE=FY","FILING_STATUS=MR","SCALING_FORMAT=MLN","FA_ADJUSTED=Adjusted","Sort=A","Dates=H","DateFormat=P","Fill=—","Direction=H","UseDPDF=Y")</f>
        <v>—</v>
      </c>
      <c r="E19" s="29" t="str">
        <f>_xll.BDH("ALGEV FP Equity","IS_OTHER_NON_OPERATING_INC_LOSS","FY 2013","FY 2013","Currency=EUR","Period=FY","BEST_FPERIOD_OVERRIDE=FY","FILING_STATUS=MR","SCALING_FORMAT=MLN","FA_ADJUSTED=Adjusted","Sort=A","Dates=H","DateFormat=P","Fill=—","Direction=H","UseDPDF=Y")</f>
        <v>—</v>
      </c>
      <c r="F19" s="29" t="str">
        <f>_xll.BDH("ALGEV FP Equity","IS_OTHER_NON_OPERATING_INC_LOSS","FY 2014","FY 2014","Currency=EUR","Period=FY","BEST_FPERIOD_OVERRIDE=FY","FILING_STATUS=MR","SCALING_FORMAT=MLN","FA_ADJUSTED=Adjusted","Sort=A","Dates=H","DateFormat=P","Fill=—","Direction=H","UseDPDF=Y")</f>
        <v>—</v>
      </c>
      <c r="G19" s="29" t="str">
        <f>_xll.BDH("ALGEV FP Equity","IS_OTHER_NON_OPERATING_INC_LOSS","FY 2015","FY 2015","Currency=EUR","Period=FY","BEST_FPERIOD_OVERRIDE=FY","FILING_STATUS=MR","SCALING_FORMAT=MLN","FA_ADJUSTED=Adjusted","Sort=A","Dates=H","DateFormat=P","Fill=—","Direction=H","UseDPDF=Y")</f>
        <v>—</v>
      </c>
      <c r="H19" s="29">
        <f>_xll.BDH("ALGEV FP Equity","IS_OTHER_NON_OPERATING_INC_LOSS","FY 2016","FY 2016","Currency=EUR","Period=FY","BEST_FPERIOD_OVERRIDE=FY","FILING_STATUS=MR","SCALING_FORMAT=MLN","FA_ADJUSTED=Adjusted","Sort=A","Dates=H","DateFormat=P","Fill=—","Direction=H","UseDPDF=Y")</f>
        <v>-0.40500000000000003</v>
      </c>
      <c r="I19" s="29">
        <f>_xll.BDH("ALGEV FP Equity","IS_OTHER_NON_OPERATING_INC_LOSS","FY 2017","FY 2017","Currency=EUR","Period=FY","BEST_FPERIOD_OVERRIDE=FY","FILING_STATUS=MR","SCALING_FORMAT=MLN","FA_ADJUSTED=Adjusted","Sort=A","Dates=H","DateFormat=P","Fill=—","Direction=H","UseDPDF=Y")</f>
        <v>0.72199999999999998</v>
      </c>
      <c r="J19" s="29">
        <f>_xll.BDH("ALGEV FP Equity","IS_OTHER_NON_OPERATING_INC_LOSS","FY 2018","FY 2018","Currency=EUR","Period=FY","BEST_FPERIOD_OVERRIDE=FY","FILING_STATUS=MR","SCALING_FORMAT=MLN","FA_ADJUSTED=Adjusted","Sort=A","Dates=H","DateFormat=P","Fill=—","Direction=H","UseDPDF=Y")</f>
        <v>2.8000000000000001E-2</v>
      </c>
      <c r="K19" s="29">
        <f>_xll.BDH("ALGEV FP Equity","IS_OTHER_NON_OPERATING_INC_LOSS","FY 2019","FY 2019","Currency=EUR","Period=FY","BEST_FPERIOD_OVERRIDE=FY","FILING_STATUS=MR","SCALING_FORMAT=MLN","FA_ADJUSTED=Adjusted","Sort=A","Dates=H","DateFormat=P","Fill=—","Direction=H","UseDPDF=Y")</f>
        <v>0.97899999999999998</v>
      </c>
      <c r="L19" s="10">
        <v>0.35899999999999999</v>
      </c>
    </row>
    <row r="20" spans="1:12" x14ac:dyDescent="0.25">
      <c r="A20" s="13" t="s">
        <v>239</v>
      </c>
      <c r="B20" s="13" t="s">
        <v>240</v>
      </c>
      <c r="C20" s="32">
        <f>_xll.BDH("ALGEV FP Equity","PRETAX_INC","FY 2011","FY 2011","Currency=EUR","Period=FY","BEST_FPERIOD_OVERRIDE=FY","FILING_STATUS=MR","SCALING_FORMAT=MLN","FA_ADJUSTED=Adjusted","Sort=A","Dates=H","DateFormat=P","Fill=—","Direction=H","UseDPDF=Y")</f>
        <v>20.228999999999999</v>
      </c>
      <c r="D20" s="32">
        <f>_xll.BDH("ALGEV FP Equity","PRETAX_INC","FY 2012","FY 2012","Currency=EUR","Period=FY","BEST_FPERIOD_OVERRIDE=FY","FILING_STATUS=MR","SCALING_FORMAT=MLN","FA_ADJUSTED=Adjusted","Sort=A","Dates=H","DateFormat=P","Fill=—","Direction=H","UseDPDF=Y")</f>
        <v>-12.555</v>
      </c>
      <c r="E20" s="32">
        <f>_xll.BDH("ALGEV FP Equity","PRETAX_INC","FY 2013","FY 2013","Currency=EUR","Period=FY","BEST_FPERIOD_OVERRIDE=FY","FILING_STATUS=MR","SCALING_FORMAT=MLN","FA_ADJUSTED=Adjusted","Sort=A","Dates=H","DateFormat=P","Fill=—","Direction=H","UseDPDF=Y")</f>
        <v>7.2930000000000001</v>
      </c>
      <c r="F20" s="32">
        <f>_xll.BDH("ALGEV FP Equity","PRETAX_INC","FY 2014","FY 2014","Currency=EUR","Period=FY","BEST_FPERIOD_OVERRIDE=FY","FILING_STATUS=MR","SCALING_FORMAT=MLN","FA_ADJUSTED=Adjusted","Sort=A","Dates=H","DateFormat=P","Fill=—","Direction=H","UseDPDF=Y")</f>
        <v>78.415000000000006</v>
      </c>
      <c r="G20" s="32">
        <f>_xll.BDH("ALGEV FP Equity","PRETAX_INC","FY 2015","FY 2015","Currency=EUR","Period=FY","BEST_FPERIOD_OVERRIDE=FY","FILING_STATUS=MR","SCALING_FORMAT=MLN","FA_ADJUSTED=Adjusted","Sort=A","Dates=H","DateFormat=P","Fill=—","Direction=H","UseDPDF=Y")</f>
        <v>0.22700000000000001</v>
      </c>
      <c r="H20" s="32">
        <f>_xll.BDH("ALGEV FP Equity","PRETAX_INC","FY 2016","FY 2016","Currency=EUR","Period=FY","BEST_FPERIOD_OVERRIDE=FY","FILING_STATUS=MR","SCALING_FORMAT=MLN","FA_ADJUSTED=Adjusted","Sort=A","Dates=H","DateFormat=P","Fill=—","Direction=H","UseDPDF=Y")</f>
        <v>6.98</v>
      </c>
      <c r="I20" s="32">
        <f>_xll.BDH("ALGEV FP Equity","PRETAX_INC","FY 2017","FY 2017","Currency=EUR","Period=FY","BEST_FPERIOD_OVERRIDE=FY","FILING_STATUS=MR","SCALING_FORMAT=MLN","FA_ADJUSTED=Adjusted","Sort=A","Dates=H","DateFormat=P","Fill=—","Direction=H","UseDPDF=Y")</f>
        <v>1.6930000000000001</v>
      </c>
      <c r="J20" s="32">
        <f>_xll.BDH("ALGEV FP Equity","PRETAX_INC","FY 2018","FY 2018","Currency=EUR","Period=FY","BEST_FPERIOD_OVERRIDE=FY","FILING_STATUS=MR","SCALING_FORMAT=MLN","FA_ADJUSTED=Adjusted","Sort=A","Dates=H","DateFormat=P","Fill=—","Direction=H","UseDPDF=Y")</f>
        <v>7.524</v>
      </c>
      <c r="K20" s="32">
        <f>_xll.BDH("ALGEV FP Equity","PRETAX_INC","FY 2019","FY 2019","Currency=EUR","Period=FY","BEST_FPERIOD_OVERRIDE=FY","FILING_STATUS=MR","SCALING_FORMAT=MLN","FA_ADJUSTED=Adjusted","Sort=A","Dates=H","DateFormat=P","Fill=—","Direction=H","UseDPDF=Y")</f>
        <v>9.7970000000000006</v>
      </c>
      <c r="L20" s="12">
        <v>1.2110000076293901</v>
      </c>
    </row>
    <row r="21" spans="1:12" ht="14.45" x14ac:dyDescent="0.35">
      <c r="A21" s="11" t="s">
        <v>241</v>
      </c>
      <c r="B21" s="11" t="s">
        <v>242</v>
      </c>
      <c r="C21" s="29" t="str">
        <f>_xll.BDH("ALGEV FP Equity","IS_ABNORMAL_ITEM","FY 2011","FY 2011","Currency=EUR","Period=FY","BEST_FPERIOD_OVERRIDE=FY","FILING_STATUS=MR","SCALING_FORMAT=MLN","Sort=A","Dates=H","DateFormat=P","Fill=—","Direction=H","UseDPDF=Y")</f>
        <v>—</v>
      </c>
      <c r="D21" s="29">
        <f>_xll.BDH("ALGEV FP Equity","IS_ABNORMAL_ITEM","FY 2012","FY 2012","Currency=EUR","Period=FY","BEST_FPERIOD_OVERRIDE=FY","FILING_STATUS=MR","SCALING_FORMAT=MLN","Sort=A","Dates=H","DateFormat=P","Fill=—","Direction=H","UseDPDF=Y")</f>
        <v>0</v>
      </c>
      <c r="E21" s="29">
        <f>_xll.BDH("ALGEV FP Equity","IS_ABNORMAL_ITEM","FY 2013","FY 2013","Currency=EUR","Period=FY","BEST_FPERIOD_OVERRIDE=FY","FILING_STATUS=MR","SCALING_FORMAT=MLN","Sort=A","Dates=H","DateFormat=P","Fill=—","Direction=H","UseDPDF=Y")</f>
        <v>0</v>
      </c>
      <c r="F21" s="29">
        <f>_xll.BDH("ALGEV FP Equity","IS_ABNORMAL_ITEM","FY 2014","FY 2014","Currency=EUR","Period=FY","BEST_FPERIOD_OVERRIDE=FY","FILING_STATUS=MR","SCALING_FORMAT=MLN","Sort=A","Dates=H","DateFormat=P","Fill=—","Direction=H","UseDPDF=Y")</f>
        <v>0</v>
      </c>
      <c r="G21" s="29">
        <f>_xll.BDH("ALGEV FP Equity","IS_ABNORMAL_ITEM","FY 2015","FY 2015","Currency=EUR","Period=FY","BEST_FPERIOD_OVERRIDE=FY","FILING_STATUS=MR","SCALING_FORMAT=MLN","Sort=A","Dates=H","DateFormat=P","Fill=—","Direction=H","UseDPDF=Y")</f>
        <v>0</v>
      </c>
      <c r="H21" s="29">
        <f>_xll.BDH("ALGEV FP Equity","IS_ABNORMAL_ITEM","FY 2016","FY 2016","Currency=EUR","Period=FY","BEST_FPERIOD_OVERRIDE=FY","FILING_STATUS=MR","SCALING_FORMAT=MLN","Sort=A","Dates=H","DateFormat=P","Fill=—","Direction=H","UseDPDF=Y")</f>
        <v>-9.5749999999999993</v>
      </c>
      <c r="I21" s="29">
        <f>_xll.BDH("ALGEV FP Equity","IS_ABNORMAL_ITEM","FY 2017","FY 2017","Currency=EUR","Period=FY","BEST_FPERIOD_OVERRIDE=FY","FILING_STATUS=MR","SCALING_FORMAT=MLN","Sort=A","Dates=H","DateFormat=P","Fill=—","Direction=H","UseDPDF=Y")</f>
        <v>-21.202000000000002</v>
      </c>
      <c r="J21" s="29">
        <f>_xll.BDH("ALGEV FP Equity","IS_ABNORMAL_ITEM","FY 2018","FY 2018","Currency=EUR","Period=FY","BEST_FPERIOD_OVERRIDE=FY","FILING_STATUS=MR","SCALING_FORMAT=MLN","Sort=A","Dates=H","DateFormat=P","Fill=—","Direction=H","UseDPDF=Y")</f>
        <v>-0.41099999999999998</v>
      </c>
      <c r="K21" s="29">
        <f>_xll.BDH("ALGEV FP Equity","IS_ABNORMAL_ITEM","FY 2019","FY 2019","Currency=EUR","Period=FY","BEST_FPERIOD_OVERRIDE=FY","FILING_STATUS=MR","SCALING_FORMAT=MLN","Sort=A","Dates=H","DateFormat=P","Fill=—","Direction=H","UseDPDF=Y")</f>
        <v>-0.754</v>
      </c>
      <c r="L21" s="10">
        <v>-0.78500001192092905</v>
      </c>
    </row>
    <row r="22" spans="1:12" ht="14.45" x14ac:dyDescent="0.35">
      <c r="A22" s="11" t="s">
        <v>243</v>
      </c>
      <c r="B22" s="11" t="s">
        <v>244</v>
      </c>
      <c r="C22" s="29" t="str">
        <f>_xll.BDH("ALGEV FP Equity","IS_GAIN_LOSS_DISPOSAL_ASSETS","FY 2011","FY 2011","Currency=EUR","Period=FY","BEST_FPERIOD_OVERRIDE=FY","FILING_STATUS=MR","SCALING_FORMAT=MLN","Sort=A","Dates=H","DateFormat=P","Fill=—","Direction=H","UseDPDF=Y")</f>
        <v>—</v>
      </c>
      <c r="D22" s="29" t="str">
        <f>_xll.BDH("ALGEV FP Equity","IS_GAIN_LOSS_DISPOSAL_ASSETS","FY 2012","FY 2012","Currency=EUR","Period=FY","BEST_FPERIOD_OVERRIDE=FY","FILING_STATUS=MR","SCALING_FORMAT=MLN","Sort=A","Dates=H","DateFormat=P","Fill=—","Direction=H","UseDPDF=Y")</f>
        <v>—</v>
      </c>
      <c r="E22" s="29" t="str">
        <f>_xll.BDH("ALGEV FP Equity","IS_GAIN_LOSS_DISPOSAL_ASSETS","FY 2013","FY 2013","Currency=EUR","Period=FY","BEST_FPERIOD_OVERRIDE=FY","FILING_STATUS=MR","SCALING_FORMAT=MLN","Sort=A","Dates=H","DateFormat=P","Fill=—","Direction=H","UseDPDF=Y")</f>
        <v>—</v>
      </c>
      <c r="F22" s="29" t="str">
        <f>_xll.BDH("ALGEV FP Equity","IS_GAIN_LOSS_DISPOSAL_ASSETS","FY 2014","FY 2014","Currency=EUR","Period=FY","BEST_FPERIOD_OVERRIDE=FY","FILING_STATUS=MR","SCALING_FORMAT=MLN","Sort=A","Dates=H","DateFormat=P","Fill=—","Direction=H","UseDPDF=Y")</f>
        <v>—</v>
      </c>
      <c r="G22" s="29" t="str">
        <f>_xll.BDH("ALGEV FP Equity","IS_GAIN_LOSS_DISPOSAL_ASSETS","FY 2015","FY 2015","Currency=EUR","Period=FY","BEST_FPERIOD_OVERRIDE=FY","FILING_STATUS=MR","SCALING_FORMAT=MLN","Sort=A","Dates=H","DateFormat=P","Fill=—","Direction=H","UseDPDF=Y")</f>
        <v>—</v>
      </c>
      <c r="H22" s="29" t="str">
        <f>_xll.BDH("ALGEV FP Equity","IS_GAIN_LOSS_DISPOSAL_ASSETS","FY 2016","FY 2016","Currency=EUR","Period=FY","BEST_FPERIOD_OVERRIDE=FY","FILING_STATUS=MR","SCALING_FORMAT=MLN","Sort=A","Dates=H","DateFormat=P","Fill=—","Direction=H","UseDPDF=Y")</f>
        <v>—</v>
      </c>
      <c r="I22" s="29" t="str">
        <f>_xll.BDH("ALGEV FP Equity","IS_GAIN_LOSS_DISPOSAL_ASSETS","FY 2017","FY 2017","Currency=EUR","Period=FY","BEST_FPERIOD_OVERRIDE=FY","FILING_STATUS=MR","SCALING_FORMAT=MLN","Sort=A","Dates=H","DateFormat=P","Fill=—","Direction=H","UseDPDF=Y")</f>
        <v>—</v>
      </c>
      <c r="J22" s="29">
        <f>_xll.BDH("ALGEV FP Equity","IS_GAIN_LOSS_DISPOSAL_ASSETS","FY 2018","FY 2018","Currency=EUR","Period=FY","BEST_FPERIOD_OVERRIDE=FY","FILING_STATUS=MR","SCALING_FORMAT=MLN","Sort=A","Dates=H","DateFormat=P","Fill=—","Direction=H","UseDPDF=Y")</f>
        <v>0.11600000000000001</v>
      </c>
      <c r="K22" s="29">
        <f>_xll.BDH("ALGEV FP Equity","IS_GAIN_LOSS_DISPOSAL_ASSETS","FY 2019","FY 2019","Currency=EUR","Period=FY","BEST_FPERIOD_OVERRIDE=FY","FILING_STATUS=MR","SCALING_FORMAT=MLN","Sort=A","Dates=H","DateFormat=P","Fill=—","Direction=H","UseDPDF=Y")</f>
        <v>8.9999999999999993E-3</v>
      </c>
      <c r="L22" s="10">
        <v>-4.5999999999999999E-2</v>
      </c>
    </row>
    <row r="23" spans="1:12" x14ac:dyDescent="0.25">
      <c r="A23" s="11" t="s">
        <v>245</v>
      </c>
      <c r="B23" s="11" t="s">
        <v>246</v>
      </c>
      <c r="C23" s="29" t="str">
        <f>_xll.BDH("ALGEV FP Equity","IS_LEGAL_LITIGATION_SETTLEMENT","FY 2011","FY 2011","Currency=EUR","Period=FY","BEST_FPERIOD_OVERRIDE=FY","FILING_STATUS=MR","SCALING_FORMAT=MLN","Sort=A","Dates=H","DateFormat=P","Fill=—","Direction=H","UseDPDF=Y")</f>
        <v>—</v>
      </c>
      <c r="D23" s="29" t="str">
        <f>_xll.BDH("ALGEV FP Equity","IS_LEGAL_LITIGATION_SETTLEMENT","FY 2012","FY 2012","Currency=EUR","Period=FY","BEST_FPERIOD_OVERRIDE=FY","FILING_STATUS=MR","SCALING_FORMAT=MLN","Sort=A","Dates=H","DateFormat=P","Fill=—","Direction=H","UseDPDF=Y")</f>
        <v>—</v>
      </c>
      <c r="E23" s="29" t="str">
        <f>_xll.BDH("ALGEV FP Equity","IS_LEGAL_LITIGATION_SETTLEMENT","FY 2013","FY 2013","Currency=EUR","Period=FY","BEST_FPERIOD_OVERRIDE=FY","FILING_STATUS=MR","SCALING_FORMAT=MLN","Sort=A","Dates=H","DateFormat=P","Fill=—","Direction=H","UseDPDF=Y")</f>
        <v>—</v>
      </c>
      <c r="F23" s="29" t="str">
        <f>_xll.BDH("ALGEV FP Equity","IS_LEGAL_LITIGATION_SETTLEMENT","FY 2014","FY 2014","Currency=EUR","Period=FY","BEST_FPERIOD_OVERRIDE=FY","FILING_STATUS=MR","SCALING_FORMAT=MLN","Sort=A","Dates=H","DateFormat=P","Fill=—","Direction=H","UseDPDF=Y")</f>
        <v>—</v>
      </c>
      <c r="G23" s="29" t="str">
        <f>_xll.BDH("ALGEV FP Equity","IS_LEGAL_LITIGATION_SETTLEMENT","FY 2015","FY 2015","Currency=EUR","Period=FY","BEST_FPERIOD_OVERRIDE=FY","FILING_STATUS=MR","SCALING_FORMAT=MLN","Sort=A","Dates=H","DateFormat=P","Fill=—","Direction=H","UseDPDF=Y")</f>
        <v>—</v>
      </c>
      <c r="H23" s="29">
        <f>_xll.BDH("ALGEV FP Equity","IS_LEGAL_LITIGATION_SETTLEMENT","FY 2016","FY 2016","Currency=EUR","Period=FY","BEST_FPERIOD_OVERRIDE=FY","FILING_STATUS=MR","SCALING_FORMAT=MLN","Sort=A","Dates=H","DateFormat=P","Fill=—","Direction=H","UseDPDF=Y")</f>
        <v>4.8000000000000001E-2</v>
      </c>
      <c r="I23" s="29">
        <f>_xll.BDH("ALGEV FP Equity","IS_LEGAL_LITIGATION_SETTLEMENT","FY 2017","FY 2017","Currency=EUR","Period=FY","BEST_FPERIOD_OVERRIDE=FY","FILING_STATUS=MR","SCALING_FORMAT=MLN","Sort=A","Dates=H","DateFormat=P","Fill=—","Direction=H","UseDPDF=Y")</f>
        <v>0.82599999999999996</v>
      </c>
      <c r="J23" s="29">
        <f>_xll.BDH("ALGEV FP Equity","IS_LEGAL_LITIGATION_SETTLEMENT","FY 2018","FY 2018","Currency=EUR","Period=FY","BEST_FPERIOD_OVERRIDE=FY","FILING_STATUS=MR","SCALING_FORMAT=MLN","Sort=A","Dates=H","DateFormat=P","Fill=—","Direction=H","UseDPDF=Y")</f>
        <v>1.4999999999999999E-2</v>
      </c>
      <c r="K23" s="29">
        <f>_xll.BDH("ALGEV FP Equity","IS_LEGAL_LITIGATION_SETTLEMENT","FY 2019","FY 2019","Currency=EUR","Period=FY","BEST_FPERIOD_OVERRIDE=FY","FILING_STATUS=MR","SCALING_FORMAT=MLN","Sort=A","Dates=H","DateFormat=P","Fill=—","Direction=H","UseDPDF=Y")</f>
        <v>0.11</v>
      </c>
      <c r="L23" s="10">
        <v>0.114</v>
      </c>
    </row>
    <row r="24" spans="1:12" ht="14.45" x14ac:dyDescent="0.35">
      <c r="A24" s="11" t="s">
        <v>247</v>
      </c>
      <c r="B24" s="11" t="s">
        <v>248</v>
      </c>
      <c r="C24" s="29" t="str">
        <f>_xll.BDH("ALGEV FP Equity","IS_GAIN_LOSS_ON_INVESTMENTS","FY 2011","FY 2011","Currency=EUR","Period=FY","BEST_FPERIOD_OVERRIDE=FY","FILING_STATUS=MR","SCALING_FORMAT=MLN","Sort=A","Dates=H","DateFormat=P","Fill=—","Direction=H","UseDPDF=Y")</f>
        <v>—</v>
      </c>
      <c r="D24" s="29" t="str">
        <f>_xll.BDH("ALGEV FP Equity","IS_GAIN_LOSS_ON_INVESTMENTS","FY 2012","FY 2012","Currency=EUR","Period=FY","BEST_FPERIOD_OVERRIDE=FY","FILING_STATUS=MR","SCALING_FORMAT=MLN","Sort=A","Dates=H","DateFormat=P","Fill=—","Direction=H","UseDPDF=Y")</f>
        <v>—</v>
      </c>
      <c r="E24" s="29" t="str">
        <f>_xll.BDH("ALGEV FP Equity","IS_GAIN_LOSS_ON_INVESTMENTS","FY 2013","FY 2013","Currency=EUR","Period=FY","BEST_FPERIOD_OVERRIDE=FY","FILING_STATUS=MR","SCALING_FORMAT=MLN","Sort=A","Dates=H","DateFormat=P","Fill=—","Direction=H","UseDPDF=Y")</f>
        <v>—</v>
      </c>
      <c r="F24" s="29" t="str">
        <f>_xll.BDH("ALGEV FP Equity","IS_GAIN_LOSS_ON_INVESTMENTS","FY 2014","FY 2014","Currency=EUR","Period=FY","BEST_FPERIOD_OVERRIDE=FY","FILING_STATUS=MR","SCALING_FORMAT=MLN","Sort=A","Dates=H","DateFormat=P","Fill=—","Direction=H","UseDPDF=Y")</f>
        <v>—</v>
      </c>
      <c r="G24" s="29" t="str">
        <f>_xll.BDH("ALGEV FP Equity","IS_GAIN_LOSS_ON_INVESTMENTS","FY 2015","FY 2015","Currency=EUR","Period=FY","BEST_FPERIOD_OVERRIDE=FY","FILING_STATUS=MR","SCALING_FORMAT=MLN","Sort=A","Dates=H","DateFormat=P","Fill=—","Direction=H","UseDPDF=Y")</f>
        <v>—</v>
      </c>
      <c r="H24" s="29">
        <f>_xll.BDH("ALGEV FP Equity","IS_GAIN_LOSS_ON_INVESTMENTS","FY 2016","FY 2016","Currency=EUR","Period=FY","BEST_FPERIOD_OVERRIDE=FY","FILING_STATUS=MR","SCALING_FORMAT=MLN","Sort=A","Dates=H","DateFormat=P","Fill=—","Direction=H","UseDPDF=Y")</f>
        <v>-0.159</v>
      </c>
      <c r="I24" s="29">
        <f>_xll.BDH("ALGEV FP Equity","IS_GAIN_LOSS_ON_INVESTMENTS","FY 2017","FY 2017","Currency=EUR","Period=FY","BEST_FPERIOD_OVERRIDE=FY","FILING_STATUS=MR","SCALING_FORMAT=MLN","Sort=A","Dates=H","DateFormat=P","Fill=—","Direction=H","UseDPDF=Y")</f>
        <v>-0.10199999999999999</v>
      </c>
      <c r="J24" s="29">
        <f>_xll.BDH("ALGEV FP Equity","IS_GAIN_LOSS_ON_INVESTMENTS","FY 2018","FY 2018","Currency=EUR","Period=FY","BEST_FPERIOD_OVERRIDE=FY","FILING_STATUS=MR","SCALING_FORMAT=MLN","Sort=A","Dates=H","DateFormat=P","Fill=—","Direction=H","UseDPDF=Y")</f>
        <v>-0.55800000000000005</v>
      </c>
      <c r="K24" s="29">
        <f>_xll.BDH("ALGEV FP Equity","IS_GAIN_LOSS_ON_INVESTMENTS","FY 2019","FY 2019","Currency=EUR","Period=FY","BEST_FPERIOD_OVERRIDE=FY","FILING_STATUS=MR","SCALING_FORMAT=MLN","Sort=A","Dates=H","DateFormat=P","Fill=—","Direction=H","UseDPDF=Y")</f>
        <v>-0.90800000000000003</v>
      </c>
      <c r="L24" s="10"/>
    </row>
    <row r="25" spans="1:12" x14ac:dyDescent="0.25">
      <c r="A25" s="11" t="s">
        <v>249</v>
      </c>
      <c r="B25" s="11" t="s">
        <v>250</v>
      </c>
      <c r="C25" s="29" t="str">
        <f>_xll.BDH("ALGEV FP Equity","IS_OTHER_ONE_TIME_ITEMS","FY 2011","FY 2011","Currency=EUR","Period=FY","BEST_FPERIOD_OVERRIDE=FY","FILING_STATUS=MR","SCALING_FORMAT=MLN","Sort=A","Dates=H","DateFormat=P","Fill=—","Direction=H","UseDPDF=Y")</f>
        <v>—</v>
      </c>
      <c r="D25" s="29" t="str">
        <f>_xll.BDH("ALGEV FP Equity","IS_OTHER_ONE_TIME_ITEMS","FY 2012","FY 2012","Currency=EUR","Period=FY","BEST_FPERIOD_OVERRIDE=FY","FILING_STATUS=MR","SCALING_FORMAT=MLN","Sort=A","Dates=H","DateFormat=P","Fill=—","Direction=H","UseDPDF=Y")</f>
        <v>—</v>
      </c>
      <c r="E25" s="29" t="str">
        <f>_xll.BDH("ALGEV FP Equity","IS_OTHER_ONE_TIME_ITEMS","FY 2013","FY 2013","Currency=EUR","Period=FY","BEST_FPERIOD_OVERRIDE=FY","FILING_STATUS=MR","SCALING_FORMAT=MLN","Sort=A","Dates=H","DateFormat=P","Fill=—","Direction=H","UseDPDF=Y")</f>
        <v>—</v>
      </c>
      <c r="F25" s="29" t="str">
        <f>_xll.BDH("ALGEV FP Equity","IS_OTHER_ONE_TIME_ITEMS","FY 2014","FY 2014","Currency=EUR","Period=FY","BEST_FPERIOD_OVERRIDE=FY","FILING_STATUS=MR","SCALING_FORMAT=MLN","Sort=A","Dates=H","DateFormat=P","Fill=—","Direction=H","UseDPDF=Y")</f>
        <v>—</v>
      </c>
      <c r="G25" s="29" t="str">
        <f>_xll.BDH("ALGEV FP Equity","IS_OTHER_ONE_TIME_ITEMS","FY 2015","FY 2015","Currency=EUR","Period=FY","BEST_FPERIOD_OVERRIDE=FY","FILING_STATUS=MR","SCALING_FORMAT=MLN","Sort=A","Dates=H","DateFormat=P","Fill=—","Direction=H","UseDPDF=Y")</f>
        <v>—</v>
      </c>
      <c r="H25" s="29">
        <f>_xll.BDH("ALGEV FP Equity","IS_OTHER_ONE_TIME_ITEMS","FY 2016","FY 2016","Currency=EUR","Period=FY","BEST_FPERIOD_OVERRIDE=FY","FILING_STATUS=MR","SCALING_FORMAT=MLN","Sort=A","Dates=H","DateFormat=P","Fill=—","Direction=H","UseDPDF=Y")</f>
        <v>-9.4640000000000004</v>
      </c>
      <c r="I25" s="29">
        <f>_xll.BDH("ALGEV FP Equity","IS_OTHER_ONE_TIME_ITEMS","FY 2017","FY 2017","Currency=EUR","Period=FY","BEST_FPERIOD_OVERRIDE=FY","FILING_STATUS=MR","SCALING_FORMAT=MLN","Sort=A","Dates=H","DateFormat=P","Fill=—","Direction=H","UseDPDF=Y")</f>
        <v>-21.925999999999998</v>
      </c>
      <c r="J25" s="29">
        <f>_xll.BDH("ALGEV FP Equity","IS_OTHER_ONE_TIME_ITEMS","FY 2018","FY 2018","Currency=EUR","Period=FY","BEST_FPERIOD_OVERRIDE=FY","FILING_STATUS=MR","SCALING_FORMAT=MLN","Sort=A","Dates=H","DateFormat=P","Fill=—","Direction=H","UseDPDF=Y")</f>
        <v>1.6E-2</v>
      </c>
      <c r="K25" s="29">
        <f>_xll.BDH("ALGEV FP Equity","IS_OTHER_ONE_TIME_ITEMS","FY 2019","FY 2019","Currency=EUR","Period=FY","BEST_FPERIOD_OVERRIDE=FY","FILING_STATUS=MR","SCALING_FORMAT=MLN","Sort=A","Dates=H","DateFormat=P","Fill=—","Direction=H","UseDPDF=Y")</f>
        <v>3.5000000000000003E-2</v>
      </c>
      <c r="L25" s="10">
        <v>5.5E-2</v>
      </c>
    </row>
    <row r="26" spans="1:12" x14ac:dyDescent="0.25">
      <c r="A26" s="13" t="s">
        <v>251</v>
      </c>
      <c r="B26" s="13" t="s">
        <v>240</v>
      </c>
      <c r="C26" s="32">
        <f>_xll.BDH("ALGEV FP Equity","PRETAX_INC","FY 2011","FY 2011","Currency=EUR","Period=FY","BEST_FPERIOD_OVERRIDE=FY","FILING_STATUS=MR","SCALING_FORMAT=MLN","FA_ADJUSTED=GAAP","Sort=A","Dates=H","DateFormat=P","Fill=—","Direction=H","UseDPDF=Y")</f>
        <v>20.228999999999999</v>
      </c>
      <c r="D26" s="32">
        <f>_xll.BDH("ALGEV FP Equity","PRETAX_INC","FY 2012","FY 2012","Currency=EUR","Period=FY","BEST_FPERIOD_OVERRIDE=FY","FILING_STATUS=MR","SCALING_FORMAT=MLN","FA_ADJUSTED=GAAP","Sort=A","Dates=H","DateFormat=P","Fill=—","Direction=H","UseDPDF=Y")</f>
        <v>-12.555</v>
      </c>
      <c r="E26" s="32">
        <f>_xll.BDH("ALGEV FP Equity","PRETAX_INC","FY 2013","FY 2013","Currency=EUR","Period=FY","BEST_FPERIOD_OVERRIDE=FY","FILING_STATUS=MR","SCALING_FORMAT=MLN","FA_ADJUSTED=GAAP","Sort=A","Dates=H","DateFormat=P","Fill=—","Direction=H","UseDPDF=Y")</f>
        <v>7.2930000000000001</v>
      </c>
      <c r="F26" s="32">
        <f>_xll.BDH("ALGEV FP Equity","PRETAX_INC","FY 2014","FY 2014","Currency=EUR","Period=FY","BEST_FPERIOD_OVERRIDE=FY","FILING_STATUS=MR","SCALING_FORMAT=MLN","FA_ADJUSTED=GAAP","Sort=A","Dates=H","DateFormat=P","Fill=—","Direction=H","UseDPDF=Y")</f>
        <v>78.415000000000006</v>
      </c>
      <c r="G26" s="32">
        <f>_xll.BDH("ALGEV FP Equity","PRETAX_INC","FY 2015","FY 2015","Currency=EUR","Period=FY","BEST_FPERIOD_OVERRIDE=FY","FILING_STATUS=MR","SCALING_FORMAT=MLN","FA_ADJUSTED=GAAP","Sort=A","Dates=H","DateFormat=P","Fill=—","Direction=H","UseDPDF=Y")</f>
        <v>0.22700000000000001</v>
      </c>
      <c r="H26" s="32">
        <f>_xll.BDH("ALGEV FP Equity","PRETAX_INC","FY 2016","FY 2016","Currency=EUR","Period=FY","BEST_FPERIOD_OVERRIDE=FY","FILING_STATUS=MR","SCALING_FORMAT=MLN","FA_ADJUSTED=GAAP","Sort=A","Dates=H","DateFormat=P","Fill=—","Direction=H","UseDPDF=Y")</f>
        <v>16.555</v>
      </c>
      <c r="I26" s="32">
        <f>_xll.BDH("ALGEV FP Equity","PRETAX_INC","FY 2017","FY 2017","Currency=EUR","Period=FY","BEST_FPERIOD_OVERRIDE=FY","FILING_STATUS=MR","SCALING_FORMAT=MLN","FA_ADJUSTED=GAAP","Sort=A","Dates=H","DateFormat=P","Fill=—","Direction=H","UseDPDF=Y")</f>
        <v>22.895</v>
      </c>
      <c r="J26" s="32">
        <f>_xll.BDH("ALGEV FP Equity","PRETAX_INC","FY 2018","FY 2018","Currency=EUR","Period=FY","BEST_FPERIOD_OVERRIDE=FY","FILING_STATUS=MR","SCALING_FORMAT=MLN","FA_ADJUSTED=GAAP","Sort=A","Dates=H","DateFormat=P","Fill=—","Direction=H","UseDPDF=Y")</f>
        <v>7.9350000000000005</v>
      </c>
      <c r="K26" s="32">
        <f>_xll.BDH("ALGEV FP Equity","PRETAX_INC","FY 2019","FY 2019","Currency=EUR","Period=FY","BEST_FPERIOD_OVERRIDE=FY","FILING_STATUS=MR","SCALING_FORMAT=MLN","FA_ADJUSTED=GAAP","Sort=A","Dates=H","DateFormat=P","Fill=—","Direction=H","UseDPDF=Y")</f>
        <v>10.551</v>
      </c>
      <c r="L26" s="12">
        <v>1.9959999599456799</v>
      </c>
    </row>
    <row r="27" spans="1:12" x14ac:dyDescent="0.25">
      <c r="A27" s="11" t="s">
        <v>252</v>
      </c>
      <c r="B27" s="11" t="s">
        <v>253</v>
      </c>
      <c r="C27" s="29">
        <f>_xll.BDH("ALGEV FP Equity","IS_INC_TAX_EXP","FY 2011","FY 2011","Currency=EUR","Period=FY","BEST_FPERIOD_OVERRIDE=FY","FILING_STATUS=MR","SCALING_FORMAT=MLN","FA_ADJUSTED=GAAP","Sort=A","Dates=H","DateFormat=P","Fill=—","Direction=H","UseDPDF=Y")</f>
        <v>6.5049999999999999</v>
      </c>
      <c r="D27" s="29">
        <f>_xll.BDH("ALGEV FP Equity","IS_INC_TAX_EXP","FY 2012","FY 2012","Currency=EUR","Period=FY","BEST_FPERIOD_OVERRIDE=FY","FILING_STATUS=MR","SCALING_FORMAT=MLN","FA_ADJUSTED=GAAP","Sort=A","Dates=H","DateFormat=P","Fill=—","Direction=H","UseDPDF=Y")</f>
        <v>-4.0739999999999998</v>
      </c>
      <c r="E27" s="29">
        <f>_xll.BDH("ALGEV FP Equity","IS_INC_TAX_EXP","FY 2013","FY 2013","Currency=EUR","Period=FY","BEST_FPERIOD_OVERRIDE=FY","FILING_STATUS=MR","SCALING_FORMAT=MLN","FA_ADJUSTED=GAAP","Sort=A","Dates=H","DateFormat=P","Fill=—","Direction=H","UseDPDF=Y")</f>
        <v>1.96</v>
      </c>
      <c r="F27" s="29">
        <f>_xll.BDH("ALGEV FP Equity","IS_INC_TAX_EXP","FY 2014","FY 2014","Currency=EUR","Period=FY","BEST_FPERIOD_OVERRIDE=FY","FILING_STATUS=MR","SCALING_FORMAT=MLN","FA_ADJUSTED=GAAP","Sort=A","Dates=H","DateFormat=P","Fill=—","Direction=H","UseDPDF=Y")</f>
        <v>6.5869999999999997</v>
      </c>
      <c r="G27" s="29">
        <f>_xll.BDH("ALGEV FP Equity","IS_INC_TAX_EXP","FY 2015","FY 2015","Currency=EUR","Period=FY","BEST_FPERIOD_OVERRIDE=FY","FILING_STATUS=MR","SCALING_FORMAT=MLN","FA_ADJUSTED=GAAP","Sort=A","Dates=H","DateFormat=P","Fill=—","Direction=H","UseDPDF=Y")</f>
        <v>3.8170000000000002</v>
      </c>
      <c r="H27" s="29">
        <f>_xll.BDH("ALGEV FP Equity","IS_INC_TAX_EXP","FY 2016","FY 2016","Currency=EUR","Period=FY","BEST_FPERIOD_OVERRIDE=FY","FILING_STATUS=MR","SCALING_FORMAT=MLN","FA_ADJUSTED=GAAP","Sort=A","Dates=H","DateFormat=P","Fill=—","Direction=H","UseDPDF=Y")</f>
        <v>1.456</v>
      </c>
      <c r="I27" s="29">
        <f>_xll.BDH("ALGEV FP Equity","IS_INC_TAX_EXP","FY 2017","FY 2017","Currency=EUR","Period=FY","BEST_FPERIOD_OVERRIDE=FY","FILING_STATUS=MR","SCALING_FORMAT=MLN","FA_ADJUSTED=GAAP","Sort=A","Dates=H","DateFormat=P","Fill=—","Direction=H","UseDPDF=Y")</f>
        <v>8.4039999999999999</v>
      </c>
      <c r="J27" s="29">
        <f>_xll.BDH("ALGEV FP Equity","IS_INC_TAX_EXP","FY 2018","FY 2018","Currency=EUR","Period=FY","BEST_FPERIOD_OVERRIDE=FY","FILING_STATUS=MR","SCALING_FORMAT=MLN","FA_ADJUSTED=GAAP","Sort=A","Dates=H","DateFormat=P","Fill=—","Direction=H","UseDPDF=Y")</f>
        <v>1.716</v>
      </c>
      <c r="K27" s="29">
        <f>_xll.BDH("ALGEV FP Equity","IS_INC_TAX_EXP","FY 2019","FY 2019","Currency=EUR","Period=FY","BEST_FPERIOD_OVERRIDE=FY","FILING_STATUS=MR","SCALING_FORMAT=MLN","FA_ADJUSTED=GAAP","Sort=A","Dates=H","DateFormat=P","Fill=—","Direction=H","UseDPDF=Y")</f>
        <v>1.617</v>
      </c>
      <c r="L27" s="10">
        <v>1.1830000000000001</v>
      </c>
    </row>
    <row r="28" spans="1:12" x14ac:dyDescent="0.25">
      <c r="A28" s="11" t="s">
        <v>254</v>
      </c>
      <c r="B28" s="11" t="s">
        <v>255</v>
      </c>
      <c r="C28" s="29" t="str">
        <f>_xll.BDH("ALGEV FP Equity","IS_CURRENT_INCOME_TAX_BENEFIT","FY 2011","FY 2011","Currency=EUR","Period=FY","BEST_FPERIOD_OVERRIDE=FY","FILING_STATUS=MR","SCALING_FORMAT=MLN","Sort=A","Dates=H","DateFormat=P","Fill=—","Direction=H","UseDPDF=Y")</f>
        <v>—</v>
      </c>
      <c r="D28" s="29">
        <f>_xll.BDH("ALGEV FP Equity","IS_CURRENT_INCOME_TAX_BENEFIT","FY 2012","FY 2012","Currency=EUR","Period=FY","BEST_FPERIOD_OVERRIDE=FY","FILING_STATUS=MR","SCALING_FORMAT=MLN","Sort=A","Dates=H","DateFormat=P","Fill=—","Direction=H","UseDPDF=Y")</f>
        <v>3.9050000000000002</v>
      </c>
      <c r="E28" s="29">
        <f>_xll.BDH("ALGEV FP Equity","IS_CURRENT_INCOME_TAX_BENEFIT","FY 2013","FY 2013","Currency=EUR","Period=FY","BEST_FPERIOD_OVERRIDE=FY","FILING_STATUS=MR","SCALING_FORMAT=MLN","Sort=A","Dates=H","DateFormat=P","Fill=—","Direction=H","UseDPDF=Y")</f>
        <v>1.7530000000000001</v>
      </c>
      <c r="F28" s="29">
        <f>_xll.BDH("ALGEV FP Equity","IS_CURRENT_INCOME_TAX_BENEFIT","FY 2014","FY 2014","Currency=EUR","Period=FY","BEST_FPERIOD_OVERRIDE=FY","FILING_STATUS=MR","SCALING_FORMAT=MLN","Sort=A","Dates=H","DateFormat=P","Fill=—","Direction=H","UseDPDF=Y")</f>
        <v>7.0490000000000004</v>
      </c>
      <c r="G28" s="29">
        <f>_xll.BDH("ALGEV FP Equity","IS_CURRENT_INCOME_TAX_BENEFIT","FY 2015","FY 2015","Currency=EUR","Period=FY","BEST_FPERIOD_OVERRIDE=FY","FILING_STATUS=MR","SCALING_FORMAT=MLN","Sort=A","Dates=H","DateFormat=P","Fill=—","Direction=H","UseDPDF=Y")</f>
        <v>2.133</v>
      </c>
      <c r="H28" s="29">
        <f>_xll.BDH("ALGEV FP Equity","IS_CURRENT_INCOME_TAX_BENEFIT","FY 2016","FY 2016","Currency=EUR","Period=FY","BEST_FPERIOD_OVERRIDE=FY","FILING_STATUS=MR","SCALING_FORMAT=MLN","Sort=A","Dates=H","DateFormat=P","Fill=—","Direction=H","UseDPDF=Y")</f>
        <v>5.1719999999999997</v>
      </c>
      <c r="I28" s="29">
        <f>_xll.BDH("ALGEV FP Equity","IS_CURRENT_INCOME_TAX_BENEFIT","FY 2017","FY 2017","Currency=EUR","Period=FY","BEST_FPERIOD_OVERRIDE=FY","FILING_STATUS=MR","SCALING_FORMAT=MLN","Sort=A","Dates=H","DateFormat=P","Fill=—","Direction=H","UseDPDF=Y")</f>
        <v>6.8460000000000001</v>
      </c>
      <c r="J28" s="29">
        <f>_xll.BDH("ALGEV FP Equity","IS_CURRENT_INCOME_TAX_BENEFIT","FY 2018","FY 2018","Currency=EUR","Period=FY","BEST_FPERIOD_OVERRIDE=FY","FILING_STATUS=MR","SCALING_FORMAT=MLN","Sort=A","Dates=H","DateFormat=P","Fill=—","Direction=H","UseDPDF=Y")</f>
        <v>1.782</v>
      </c>
      <c r="K28" s="29">
        <f>_xll.BDH("ALGEV FP Equity","IS_CURRENT_INCOME_TAX_BENEFIT","FY 2019","FY 2019","Currency=EUR","Period=FY","BEST_FPERIOD_OVERRIDE=FY","FILING_STATUS=MR","SCALING_FORMAT=MLN","Sort=A","Dates=H","DateFormat=P","Fill=—","Direction=H","UseDPDF=Y")</f>
        <v>1.806</v>
      </c>
      <c r="L28" s="10"/>
    </row>
    <row r="29" spans="1:12" x14ac:dyDescent="0.25">
      <c r="A29" s="11" t="s">
        <v>256</v>
      </c>
      <c r="B29" s="11" t="s">
        <v>257</v>
      </c>
      <c r="C29" s="29" t="str">
        <f>_xll.BDH("ALGEV FP Equity","IS_DEFERRED_INCOME_TAX_BENEFIT","FY 2011","FY 2011","Currency=EUR","Period=FY","BEST_FPERIOD_OVERRIDE=FY","FILING_STATUS=MR","SCALING_FORMAT=MLN","Sort=A","Dates=H","DateFormat=P","Fill=—","Direction=H","UseDPDF=Y")</f>
        <v>—</v>
      </c>
      <c r="D29" s="29">
        <f>_xll.BDH("ALGEV FP Equity","IS_DEFERRED_INCOME_TAX_BENEFIT","FY 2012","FY 2012","Currency=EUR","Period=FY","BEST_FPERIOD_OVERRIDE=FY","FILING_STATUS=MR","SCALING_FORMAT=MLN","Sort=A","Dates=H","DateFormat=P","Fill=—","Direction=H","UseDPDF=Y")</f>
        <v>-7.9790000000000001</v>
      </c>
      <c r="E29" s="29">
        <f>_xll.BDH("ALGEV FP Equity","IS_DEFERRED_INCOME_TAX_BENEFIT","FY 2013","FY 2013","Currency=EUR","Period=FY","BEST_FPERIOD_OVERRIDE=FY","FILING_STATUS=MR","SCALING_FORMAT=MLN","Sort=A","Dates=H","DateFormat=P","Fill=—","Direction=H","UseDPDF=Y")</f>
        <v>0.20100000000000001</v>
      </c>
      <c r="F29" s="29">
        <f>_xll.BDH("ALGEV FP Equity","IS_DEFERRED_INCOME_TAX_BENEFIT","FY 2014","FY 2014","Currency=EUR","Period=FY","BEST_FPERIOD_OVERRIDE=FY","FILING_STATUS=MR","SCALING_FORMAT=MLN","Sort=A","Dates=H","DateFormat=P","Fill=—","Direction=H","UseDPDF=Y")</f>
        <v>-0.46200000000000002</v>
      </c>
      <c r="G29" s="29">
        <f>_xll.BDH("ALGEV FP Equity","IS_DEFERRED_INCOME_TAX_BENEFIT","FY 2015","FY 2015","Currency=EUR","Period=FY","BEST_FPERIOD_OVERRIDE=FY","FILING_STATUS=MR","SCALING_FORMAT=MLN","Sort=A","Dates=H","DateFormat=P","Fill=—","Direction=H","UseDPDF=Y")</f>
        <v>1.6840000000000002</v>
      </c>
      <c r="H29" s="29">
        <f>_xll.BDH("ALGEV FP Equity","IS_DEFERRED_INCOME_TAX_BENEFIT","FY 2016","FY 2016","Currency=EUR","Period=FY","BEST_FPERIOD_OVERRIDE=FY","FILING_STATUS=MR","SCALING_FORMAT=MLN","Sort=A","Dates=H","DateFormat=P","Fill=—","Direction=H","UseDPDF=Y")</f>
        <v>-3.7160000000000002</v>
      </c>
      <c r="I29" s="29">
        <f>_xll.BDH("ALGEV FP Equity","IS_DEFERRED_INCOME_TAX_BENEFIT","FY 2017","FY 2017","Currency=EUR","Period=FY","BEST_FPERIOD_OVERRIDE=FY","FILING_STATUS=MR","SCALING_FORMAT=MLN","Sort=A","Dates=H","DateFormat=P","Fill=—","Direction=H","UseDPDF=Y")</f>
        <v>1.5580000000000001</v>
      </c>
      <c r="J29" s="29">
        <f>_xll.BDH("ALGEV FP Equity","IS_DEFERRED_INCOME_TAX_BENEFIT","FY 2018","FY 2018","Currency=EUR","Period=FY","BEST_FPERIOD_OVERRIDE=FY","FILING_STATUS=MR","SCALING_FORMAT=MLN","Sort=A","Dates=H","DateFormat=P","Fill=—","Direction=H","UseDPDF=Y")</f>
        <v>-6.6000000000000003E-2</v>
      </c>
      <c r="K29" s="29">
        <f>_xll.BDH("ALGEV FP Equity","IS_DEFERRED_INCOME_TAX_BENEFIT","FY 2019","FY 2019","Currency=EUR","Period=FY","BEST_FPERIOD_OVERRIDE=FY","FILING_STATUS=MR","SCALING_FORMAT=MLN","Sort=A","Dates=H","DateFormat=P","Fill=—","Direction=H","UseDPDF=Y")</f>
        <v>-0.189</v>
      </c>
      <c r="L29" s="10"/>
    </row>
    <row r="30" spans="1:12" x14ac:dyDescent="0.25">
      <c r="A30" s="11" t="s">
        <v>258</v>
      </c>
      <c r="B30" s="11" t="s">
        <v>259</v>
      </c>
      <c r="C30" s="29" t="str">
        <f>_xll.BDH("ALGEV FP Equity","IS_SH_PRO_EQY_MT_INV_NET_OF_TAX","FY 2011","FY 2011","Currency=EUR","Period=FY","BEST_FPERIOD_OVERRIDE=FY","FILING_STATUS=MR","SCALING_FORMAT=MLN","FA_ADJUSTED=GAAP","Sort=A","Dates=H","DateFormat=P","Fill=—","Direction=H","UseDPDF=Y")</f>
        <v>—</v>
      </c>
      <c r="D30" s="29">
        <f>_xll.BDH("ALGEV FP Equity","IS_SH_PRO_EQY_MT_INV_NET_OF_TAX","FY 2012","FY 2012","Currency=EUR","Period=FY","BEST_FPERIOD_OVERRIDE=FY","FILING_STATUS=MR","SCALING_FORMAT=MLN","FA_ADJUSTED=GAAP","Sort=A","Dates=H","DateFormat=P","Fill=—","Direction=H","UseDPDF=Y")</f>
        <v>-0.59299999999999997</v>
      </c>
      <c r="E30" s="29">
        <f>_xll.BDH("ALGEV FP Equity","IS_SH_PRO_EQY_MT_INV_NET_OF_TAX","FY 2013","FY 2013","Currency=EUR","Period=FY","BEST_FPERIOD_OVERRIDE=FY","FILING_STATUS=MR","SCALING_FORMAT=MLN","FA_ADJUSTED=GAAP","Sort=A","Dates=H","DateFormat=P","Fill=—","Direction=H","UseDPDF=Y")</f>
        <v>0</v>
      </c>
      <c r="F30" s="29">
        <f>_xll.BDH("ALGEV FP Equity","IS_SH_PRO_EQY_MT_INV_NET_OF_TAX","FY 2014","FY 2014","Currency=EUR","Period=FY","BEST_FPERIOD_OVERRIDE=FY","FILING_STATUS=MR","SCALING_FORMAT=MLN","FA_ADJUSTED=GAAP","Sort=A","Dates=H","DateFormat=P","Fill=—","Direction=H","UseDPDF=Y")</f>
        <v>0</v>
      </c>
      <c r="G30" s="29">
        <f>_xll.BDH("ALGEV FP Equity","IS_SH_PRO_EQY_MT_INV_NET_OF_TAX","FY 2015","FY 2015","Currency=EUR","Period=FY","BEST_FPERIOD_OVERRIDE=FY","FILING_STATUS=MR","SCALING_FORMAT=MLN","FA_ADJUSTED=GAAP","Sort=A","Dates=H","DateFormat=P","Fill=—","Direction=H","UseDPDF=Y")</f>
        <v>0</v>
      </c>
      <c r="H30" s="29">
        <f>_xll.BDH("ALGEV FP Equity","IS_SH_PRO_EQY_MT_INV_NET_OF_TAX","FY 2016","FY 2016","Currency=EUR","Period=FY","BEST_FPERIOD_OVERRIDE=FY","FILING_STATUS=MR","SCALING_FORMAT=MLN","FA_ADJUSTED=GAAP","Sort=A","Dates=H","DateFormat=P","Fill=—","Direction=H","UseDPDF=Y")</f>
        <v>-4.9000000000000002E-2</v>
      </c>
      <c r="I30" s="29">
        <f>_xll.BDH("ALGEV FP Equity","IS_SH_PRO_EQY_MT_INV_NET_OF_TAX","FY 2017","FY 2017","Currency=EUR","Period=FY","BEST_FPERIOD_OVERRIDE=FY","FILING_STATUS=MR","SCALING_FORMAT=MLN","FA_ADJUSTED=GAAP","Sort=A","Dates=H","DateFormat=P","Fill=—","Direction=H","UseDPDF=Y")</f>
        <v>6.0000000000000001E-3</v>
      </c>
      <c r="J30" s="29">
        <f>_xll.BDH("ALGEV FP Equity","IS_SH_PRO_EQY_MT_INV_NET_OF_TAX","FY 2018","FY 2018","Currency=EUR","Period=FY","BEST_FPERIOD_OVERRIDE=FY","FILING_STATUS=MR","SCALING_FORMAT=MLN","FA_ADJUSTED=GAAP","Sort=A","Dates=H","DateFormat=P","Fill=—","Direction=H","UseDPDF=Y")</f>
        <v>3.9E-2</v>
      </c>
      <c r="K30" s="29">
        <f>_xll.BDH("ALGEV FP Equity","IS_SH_PRO_EQY_MT_INV_NET_OF_TAX","FY 2019","FY 2019","Currency=EUR","Period=FY","BEST_FPERIOD_OVERRIDE=FY","FILING_STATUS=MR","SCALING_FORMAT=MLN","FA_ADJUSTED=GAAP","Sort=A","Dates=H","DateFormat=P","Fill=—","Direction=H","UseDPDF=Y")</f>
        <v>-3.0000000000000001E-3</v>
      </c>
      <c r="L30" s="10">
        <v>3.6999999999999998E-2</v>
      </c>
    </row>
    <row r="31" spans="1:12" x14ac:dyDescent="0.25">
      <c r="A31" s="13" t="s">
        <v>260</v>
      </c>
      <c r="B31" s="13" t="s">
        <v>261</v>
      </c>
      <c r="C31" s="32">
        <f>_xll.BDH("ALGEV FP Equity","IS_INC_BEF_XO_ITEM","FY 2011","FY 2011","Currency=EUR","Period=FY","BEST_FPERIOD_OVERRIDE=FY","FILING_STATUS=MR","SCALING_FORMAT=MLN","Sort=A","Dates=H","DateFormat=P","Fill=—","Direction=H","UseDPDF=Y")</f>
        <v>13.724</v>
      </c>
      <c r="D31" s="32">
        <f>_xll.BDH("ALGEV FP Equity","IS_INC_BEF_XO_ITEM","FY 2012","FY 2012","Currency=EUR","Period=FY","BEST_FPERIOD_OVERRIDE=FY","FILING_STATUS=MR","SCALING_FORMAT=MLN","Sort=A","Dates=H","DateFormat=P","Fill=—","Direction=H","UseDPDF=Y")</f>
        <v>-7.8879999999999999</v>
      </c>
      <c r="E31" s="32">
        <f>_xll.BDH("ALGEV FP Equity","IS_INC_BEF_XO_ITEM","FY 2013","FY 2013","Currency=EUR","Period=FY","BEST_FPERIOD_OVERRIDE=FY","FILING_STATUS=MR","SCALING_FORMAT=MLN","Sort=A","Dates=H","DateFormat=P","Fill=—","Direction=H","UseDPDF=Y")</f>
        <v>5.3330000000000002</v>
      </c>
      <c r="F31" s="32">
        <f>_xll.BDH("ALGEV FP Equity","IS_INC_BEF_XO_ITEM","FY 2014","FY 2014","Currency=EUR","Period=FY","BEST_FPERIOD_OVERRIDE=FY","FILING_STATUS=MR","SCALING_FORMAT=MLN","Sort=A","Dates=H","DateFormat=P","Fill=—","Direction=H","UseDPDF=Y")</f>
        <v>71.828000000000003</v>
      </c>
      <c r="G31" s="32">
        <f>_xll.BDH("ALGEV FP Equity","IS_INC_BEF_XO_ITEM","FY 2015","FY 2015","Currency=EUR","Period=FY","BEST_FPERIOD_OVERRIDE=FY","FILING_STATUS=MR","SCALING_FORMAT=MLN","Sort=A","Dates=H","DateFormat=P","Fill=—","Direction=H","UseDPDF=Y")</f>
        <v>-3.59</v>
      </c>
      <c r="H31" s="32">
        <f>_xll.BDH("ALGEV FP Equity","IS_INC_BEF_XO_ITEM","FY 2016","FY 2016","Currency=EUR","Period=FY","BEST_FPERIOD_OVERRIDE=FY","FILING_STATUS=MR","SCALING_FORMAT=MLN","Sort=A","Dates=H","DateFormat=P","Fill=—","Direction=H","UseDPDF=Y")</f>
        <v>15.148</v>
      </c>
      <c r="I31" s="32">
        <f>_xll.BDH("ALGEV FP Equity","IS_INC_BEF_XO_ITEM","FY 2017","FY 2017","Currency=EUR","Period=FY","BEST_FPERIOD_OVERRIDE=FY","FILING_STATUS=MR","SCALING_FORMAT=MLN","Sort=A","Dates=H","DateFormat=P","Fill=—","Direction=H","UseDPDF=Y")</f>
        <v>14.484999999999999</v>
      </c>
      <c r="J31" s="32">
        <f>_xll.BDH("ALGEV FP Equity","IS_INC_BEF_XO_ITEM","FY 2018","FY 2018","Currency=EUR","Period=FY","BEST_FPERIOD_OVERRIDE=FY","FILING_STATUS=MR","SCALING_FORMAT=MLN","Sort=A","Dates=H","DateFormat=P","Fill=—","Direction=H","UseDPDF=Y")</f>
        <v>6.18</v>
      </c>
      <c r="K31" s="32">
        <f>_xll.BDH("ALGEV FP Equity","IS_INC_BEF_XO_ITEM","FY 2019","FY 2019","Currency=EUR","Period=FY","BEST_FPERIOD_OVERRIDE=FY","FILING_STATUS=MR","SCALING_FORMAT=MLN","Sort=A","Dates=H","DateFormat=P","Fill=—","Direction=H","UseDPDF=Y")</f>
        <v>8.9369999999999994</v>
      </c>
      <c r="L31" s="12">
        <v>0.77600000000000002</v>
      </c>
    </row>
    <row r="32" spans="1:12" ht="14.45" x14ac:dyDescent="0.35">
      <c r="A32" s="11" t="s">
        <v>262</v>
      </c>
      <c r="B32" s="11" t="s">
        <v>263</v>
      </c>
      <c r="C32" s="29">
        <f>_xll.BDH("ALGEV FP Equity","XO_GL_NET_OF_TAX","FY 2011","FY 2011","Currency=EUR","Period=FY","BEST_FPERIOD_OVERRIDE=FY","FILING_STATUS=MR","SCALING_FORMAT=MLN","Sort=A","Dates=H","DateFormat=P","Fill=—","Direction=H","UseDPDF=Y")</f>
        <v>0</v>
      </c>
      <c r="D32" s="29">
        <f>_xll.BDH("ALGEV FP Equity","XO_GL_NET_OF_TAX","FY 2012","FY 2012","Currency=EUR","Period=FY","BEST_FPERIOD_OVERRIDE=FY","FILING_STATUS=MR","SCALING_FORMAT=MLN","Sort=A","Dates=H","DateFormat=P","Fill=—","Direction=H","UseDPDF=Y")</f>
        <v>0</v>
      </c>
      <c r="E32" s="29">
        <f>_xll.BDH("ALGEV FP Equity","XO_GL_NET_OF_TAX","FY 2013","FY 2013","Currency=EUR","Period=FY","BEST_FPERIOD_OVERRIDE=FY","FILING_STATUS=MR","SCALING_FORMAT=MLN","Sort=A","Dates=H","DateFormat=P","Fill=—","Direction=H","UseDPDF=Y")</f>
        <v>-0.36</v>
      </c>
      <c r="F32" s="29">
        <f>_xll.BDH("ALGEV FP Equity","XO_GL_NET_OF_TAX","FY 2014","FY 2014","Currency=EUR","Period=FY","BEST_FPERIOD_OVERRIDE=FY","FILING_STATUS=MR","SCALING_FORMAT=MLN","Sort=A","Dates=H","DateFormat=P","Fill=—","Direction=H","UseDPDF=Y")</f>
        <v>4.8970000000000002</v>
      </c>
      <c r="G32" s="29">
        <f>_xll.BDH("ALGEV FP Equity","XO_GL_NET_OF_TAX","FY 2015","FY 2015","Currency=EUR","Period=FY","BEST_FPERIOD_OVERRIDE=FY","FILING_STATUS=MR","SCALING_FORMAT=MLN","Sort=A","Dates=H","DateFormat=P","Fill=—","Direction=H","UseDPDF=Y")</f>
        <v>0</v>
      </c>
      <c r="H32" s="29">
        <f>_xll.BDH("ALGEV FP Equity","XO_GL_NET_OF_TAX","FY 2016","FY 2016","Currency=EUR","Period=FY","BEST_FPERIOD_OVERRIDE=FY","FILING_STATUS=MR","SCALING_FORMAT=MLN","Sort=A","Dates=H","DateFormat=P","Fill=—","Direction=H","UseDPDF=Y")</f>
        <v>0.58199999999999996</v>
      </c>
      <c r="I32" s="29">
        <f>_xll.BDH("ALGEV FP Equity","XO_GL_NET_OF_TAX","FY 2017","FY 2017","Currency=EUR","Period=FY","BEST_FPERIOD_OVERRIDE=FY","FILING_STATUS=MR","SCALING_FORMAT=MLN","Sort=A","Dates=H","DateFormat=P","Fill=—","Direction=H","UseDPDF=Y")</f>
        <v>12.539</v>
      </c>
      <c r="J32" s="29">
        <f>_xll.BDH("ALGEV FP Equity","XO_GL_NET_OF_TAX","FY 2018","FY 2018","Currency=EUR","Period=FY","BEST_FPERIOD_OVERRIDE=FY","FILING_STATUS=MR","SCALING_FORMAT=MLN","Sort=A","Dates=H","DateFormat=P","Fill=—","Direction=H","UseDPDF=Y")</f>
        <v>0</v>
      </c>
      <c r="K32" s="29">
        <f>_xll.BDH("ALGEV FP Equity","XO_GL_NET_OF_TAX","FY 2019","FY 2019","Currency=EUR","Period=FY","BEST_FPERIOD_OVERRIDE=FY","FILING_STATUS=MR","SCALING_FORMAT=MLN","Sort=A","Dates=H","DateFormat=P","Fill=—","Direction=H","UseDPDF=Y")</f>
        <v>0</v>
      </c>
      <c r="L32" s="10">
        <v>0</v>
      </c>
    </row>
    <row r="33" spans="1:12" x14ac:dyDescent="0.25">
      <c r="A33" s="11" t="s">
        <v>264</v>
      </c>
      <c r="B33" s="11" t="s">
        <v>265</v>
      </c>
      <c r="C33" s="29" t="str">
        <f>_xll.BDH("ALGEV FP Equity","IS_DISCONTINUED_OPERATIONS","FY 2011","FY 2011","Currency=EUR","Period=FY","BEST_FPERIOD_OVERRIDE=FY","FILING_STATUS=MR","SCALING_FORMAT=MLN","Sort=A","Dates=H","DateFormat=P","Fill=—","Direction=H","UseDPDF=Y")</f>
        <v>—</v>
      </c>
      <c r="D33" s="29" t="str">
        <f>_xll.BDH("ALGEV FP Equity","IS_DISCONTINUED_OPERATIONS","FY 2012","FY 2012","Currency=EUR","Period=FY","BEST_FPERIOD_OVERRIDE=FY","FILING_STATUS=MR","SCALING_FORMAT=MLN","Sort=A","Dates=H","DateFormat=P","Fill=—","Direction=H","UseDPDF=Y")</f>
        <v>—</v>
      </c>
      <c r="E33" s="29" t="str">
        <f>_xll.BDH("ALGEV FP Equity","IS_DISCONTINUED_OPERATIONS","FY 2013","FY 2013","Currency=EUR","Period=FY","BEST_FPERIOD_OVERRIDE=FY","FILING_STATUS=MR","SCALING_FORMAT=MLN","Sort=A","Dates=H","DateFormat=P","Fill=—","Direction=H","UseDPDF=Y")</f>
        <v>—</v>
      </c>
      <c r="F33" s="29" t="str">
        <f>_xll.BDH("ALGEV FP Equity","IS_DISCONTINUED_OPERATIONS","FY 2014","FY 2014","Currency=EUR","Period=FY","BEST_FPERIOD_OVERRIDE=FY","FILING_STATUS=MR","SCALING_FORMAT=MLN","Sort=A","Dates=H","DateFormat=P","Fill=—","Direction=H","UseDPDF=Y")</f>
        <v>—</v>
      </c>
      <c r="G33" s="29" t="str">
        <f>_xll.BDH("ALGEV FP Equity","IS_DISCONTINUED_OPERATIONS","FY 2015","FY 2015","Currency=EUR","Period=FY","BEST_FPERIOD_OVERRIDE=FY","FILING_STATUS=MR","SCALING_FORMAT=MLN","Sort=A","Dates=H","DateFormat=P","Fill=—","Direction=H","UseDPDF=Y")</f>
        <v>—</v>
      </c>
      <c r="H33" s="29">
        <f>_xll.BDH("ALGEV FP Equity","IS_DISCONTINUED_OPERATIONS","FY 2016","FY 2016","Currency=EUR","Period=FY","BEST_FPERIOD_OVERRIDE=FY","FILING_STATUS=MR","SCALING_FORMAT=MLN","Sort=A","Dates=H","DateFormat=P","Fill=—","Direction=H","UseDPDF=Y")</f>
        <v>0.58199999999999996</v>
      </c>
      <c r="I33" s="29">
        <f>_xll.BDH("ALGEV FP Equity","IS_DISCONTINUED_OPERATIONS","FY 2017","FY 2017","Currency=EUR","Period=FY","BEST_FPERIOD_OVERRIDE=FY","FILING_STATUS=MR","SCALING_FORMAT=MLN","Sort=A","Dates=H","DateFormat=P","Fill=—","Direction=H","UseDPDF=Y")</f>
        <v>12.539</v>
      </c>
      <c r="J33" s="29">
        <f>_xll.BDH("ALGEV FP Equity","IS_DISCONTINUED_OPERATIONS","FY 2018","FY 2018","Currency=EUR","Period=FY","BEST_FPERIOD_OVERRIDE=FY","FILING_STATUS=MR","SCALING_FORMAT=MLN","Sort=A","Dates=H","DateFormat=P","Fill=—","Direction=H","UseDPDF=Y")</f>
        <v>0</v>
      </c>
      <c r="K33" s="29">
        <f>_xll.BDH("ALGEV FP Equity","IS_DISCONTINUED_OPERATIONS","FY 2019","FY 2019","Currency=EUR","Period=FY","BEST_FPERIOD_OVERRIDE=FY","FILING_STATUS=MR","SCALING_FORMAT=MLN","Sort=A","Dates=H","DateFormat=P","Fill=—","Direction=H","UseDPDF=Y")</f>
        <v>0</v>
      </c>
      <c r="L33" s="10">
        <v>0</v>
      </c>
    </row>
    <row r="34" spans="1:12" ht="14.45" x14ac:dyDescent="0.35">
      <c r="A34" s="11" t="s">
        <v>266</v>
      </c>
      <c r="B34" s="11" t="s">
        <v>267</v>
      </c>
      <c r="C34" s="29" t="str">
        <f>_xll.BDH("ALGEV FP Equity","IS_EXTRAORD_ITEMS_&amp;_ACCTG_CHNG","FY 2011","FY 2011","Currency=EUR","Period=FY","BEST_FPERIOD_OVERRIDE=FY","FILING_STATUS=MR","SCALING_FORMAT=MLN","Sort=A","Dates=H","DateFormat=P","Fill=—","Direction=H","UseDPDF=Y")</f>
        <v>—</v>
      </c>
      <c r="D34" s="29" t="str">
        <f>_xll.BDH("ALGEV FP Equity","IS_EXTRAORD_ITEMS_&amp;_ACCTG_CHNG","FY 2012","FY 2012","Currency=EUR","Period=FY","BEST_FPERIOD_OVERRIDE=FY","FILING_STATUS=MR","SCALING_FORMAT=MLN","Sort=A","Dates=H","DateFormat=P","Fill=—","Direction=H","UseDPDF=Y")</f>
        <v>—</v>
      </c>
      <c r="E34" s="29" t="str">
        <f>_xll.BDH("ALGEV FP Equity","IS_EXTRAORD_ITEMS_&amp;_ACCTG_CHNG","FY 2013","FY 2013","Currency=EUR","Period=FY","BEST_FPERIOD_OVERRIDE=FY","FILING_STATUS=MR","SCALING_FORMAT=MLN","Sort=A","Dates=H","DateFormat=P","Fill=—","Direction=H","UseDPDF=Y")</f>
        <v>—</v>
      </c>
      <c r="F34" s="29" t="str">
        <f>_xll.BDH("ALGEV FP Equity","IS_EXTRAORD_ITEMS_&amp;_ACCTG_CHNG","FY 2014","FY 2014","Currency=EUR","Period=FY","BEST_FPERIOD_OVERRIDE=FY","FILING_STATUS=MR","SCALING_FORMAT=MLN","Sort=A","Dates=H","DateFormat=P","Fill=—","Direction=H","UseDPDF=Y")</f>
        <v>—</v>
      </c>
      <c r="G34" s="29" t="str">
        <f>_xll.BDH("ALGEV FP Equity","IS_EXTRAORD_ITEMS_&amp;_ACCTG_CHNG","FY 2015","FY 2015","Currency=EUR","Period=FY","BEST_FPERIOD_OVERRIDE=FY","FILING_STATUS=MR","SCALING_FORMAT=MLN","Sort=A","Dates=H","DateFormat=P","Fill=—","Direction=H","UseDPDF=Y")</f>
        <v>—</v>
      </c>
      <c r="H34" s="29">
        <f>_xll.BDH("ALGEV FP Equity","IS_EXTRAORD_ITEMS_&amp;_ACCTG_CHNG","FY 2016","FY 2016","Currency=EUR","Period=FY","BEST_FPERIOD_OVERRIDE=FY","FILING_STATUS=MR","SCALING_FORMAT=MLN","Sort=A","Dates=H","DateFormat=P","Fill=—","Direction=H","UseDPDF=Y")</f>
        <v>0</v>
      </c>
      <c r="I34" s="29">
        <f>_xll.BDH("ALGEV FP Equity","IS_EXTRAORD_ITEMS_&amp;_ACCTG_CHNG","FY 2017","FY 2017","Currency=EUR","Period=FY","BEST_FPERIOD_OVERRIDE=FY","FILING_STATUS=MR","SCALING_FORMAT=MLN","Sort=A","Dates=H","DateFormat=P","Fill=—","Direction=H","UseDPDF=Y")</f>
        <v>0</v>
      </c>
      <c r="J34" s="29">
        <f>_xll.BDH("ALGEV FP Equity","IS_EXTRAORD_ITEMS_&amp;_ACCTG_CHNG","FY 2018","FY 2018","Currency=EUR","Period=FY","BEST_FPERIOD_OVERRIDE=FY","FILING_STATUS=MR","SCALING_FORMAT=MLN","Sort=A","Dates=H","DateFormat=P","Fill=—","Direction=H","UseDPDF=Y")</f>
        <v>0</v>
      </c>
      <c r="K34" s="29">
        <f>_xll.BDH("ALGEV FP Equity","IS_EXTRAORD_ITEMS_&amp;_ACCTG_CHNG","FY 2019","FY 2019","Currency=EUR","Period=FY","BEST_FPERIOD_OVERRIDE=FY","FILING_STATUS=MR","SCALING_FORMAT=MLN","Sort=A","Dates=H","DateFormat=P","Fill=—","Direction=H","UseDPDF=Y")</f>
        <v>0</v>
      </c>
      <c r="L34" s="10">
        <v>0</v>
      </c>
    </row>
    <row r="35" spans="1:12" ht="14.45" x14ac:dyDescent="0.35">
      <c r="A35" s="13" t="s">
        <v>268</v>
      </c>
      <c r="B35" s="13" t="s">
        <v>269</v>
      </c>
      <c r="C35" s="32">
        <f>_xll.BDH("ALGEV FP Equity","NI_INCLUDING_MINORITY_INT_RATIO","FY 2011","FY 2011","Currency=EUR","Period=FY","BEST_FPERIOD_OVERRIDE=FY","FILING_STATUS=MR","SCALING_FORMAT=MLN","FA_ADJUSTED=GAAP","Sort=A","Dates=H","DateFormat=P","Fill=—","Direction=H","UseDPDF=Y")</f>
        <v>13.724</v>
      </c>
      <c r="D35" s="32">
        <f>_xll.BDH("ALGEV FP Equity","NI_INCLUDING_MINORITY_INT_RATIO","FY 2012","FY 2012","Currency=EUR","Period=FY","BEST_FPERIOD_OVERRIDE=FY","FILING_STATUS=MR","SCALING_FORMAT=MLN","FA_ADJUSTED=GAAP","Sort=A","Dates=H","DateFormat=P","Fill=—","Direction=H","UseDPDF=Y")</f>
        <v>-7.8879999999999999</v>
      </c>
      <c r="E35" s="32">
        <f>_xll.BDH("ALGEV FP Equity","NI_INCLUDING_MINORITY_INT_RATIO","FY 2013","FY 2013","Currency=EUR","Period=FY","BEST_FPERIOD_OVERRIDE=FY","FILING_STATUS=MR","SCALING_FORMAT=MLN","FA_ADJUSTED=GAAP","Sort=A","Dates=H","DateFormat=P","Fill=—","Direction=H","UseDPDF=Y")</f>
        <v>5.6929999999999996</v>
      </c>
      <c r="F35" s="32">
        <f>_xll.BDH("ALGEV FP Equity","NI_INCLUDING_MINORITY_INT_RATIO","FY 2014","FY 2014","Currency=EUR","Period=FY","BEST_FPERIOD_OVERRIDE=FY","FILING_STATUS=MR","SCALING_FORMAT=MLN","FA_ADJUSTED=GAAP","Sort=A","Dates=H","DateFormat=P","Fill=—","Direction=H","UseDPDF=Y")</f>
        <v>66.930999999999997</v>
      </c>
      <c r="G35" s="32">
        <f>_xll.BDH("ALGEV FP Equity","NI_INCLUDING_MINORITY_INT_RATIO","FY 2015","FY 2015","Currency=EUR","Period=FY","BEST_FPERIOD_OVERRIDE=FY","FILING_STATUS=MR","SCALING_FORMAT=MLN","FA_ADJUSTED=GAAP","Sort=A","Dates=H","DateFormat=P","Fill=—","Direction=H","UseDPDF=Y")</f>
        <v>-3.59</v>
      </c>
      <c r="H35" s="32">
        <f>_xll.BDH("ALGEV FP Equity","NI_INCLUDING_MINORITY_INT_RATIO","FY 2016","FY 2016","Currency=EUR","Period=FY","BEST_FPERIOD_OVERRIDE=FY","FILING_STATUS=MR","SCALING_FORMAT=MLN","FA_ADJUSTED=GAAP","Sort=A","Dates=H","DateFormat=P","Fill=—","Direction=H","UseDPDF=Y")</f>
        <v>14.566000000000001</v>
      </c>
      <c r="I35" s="32">
        <f>_xll.BDH("ALGEV FP Equity","NI_INCLUDING_MINORITY_INT_RATIO","FY 2017","FY 2017","Currency=EUR","Period=FY","BEST_FPERIOD_OVERRIDE=FY","FILING_STATUS=MR","SCALING_FORMAT=MLN","FA_ADJUSTED=GAAP","Sort=A","Dates=H","DateFormat=P","Fill=—","Direction=H","UseDPDF=Y")</f>
        <v>1.946</v>
      </c>
      <c r="J35" s="32">
        <f>_xll.BDH("ALGEV FP Equity","NI_INCLUDING_MINORITY_INT_RATIO","FY 2018","FY 2018","Currency=EUR","Period=FY","BEST_FPERIOD_OVERRIDE=FY","FILING_STATUS=MR","SCALING_FORMAT=MLN","FA_ADJUSTED=GAAP","Sort=A","Dates=H","DateFormat=P","Fill=—","Direction=H","UseDPDF=Y")</f>
        <v>6.18</v>
      </c>
      <c r="K35" s="32">
        <f>_xll.BDH("ALGEV FP Equity","NI_INCLUDING_MINORITY_INT_RATIO","FY 2019","FY 2019","Currency=EUR","Period=FY","BEST_FPERIOD_OVERRIDE=FY","FILING_STATUS=MR","SCALING_FORMAT=MLN","FA_ADJUSTED=GAAP","Sort=A","Dates=H","DateFormat=P","Fill=—","Direction=H","UseDPDF=Y")</f>
        <v>8.9369999999999994</v>
      </c>
      <c r="L35" s="12">
        <v>0.77600000000000002</v>
      </c>
    </row>
    <row r="36" spans="1:12" ht="14.45" x14ac:dyDescent="0.35">
      <c r="A36" s="11" t="s">
        <v>270</v>
      </c>
      <c r="B36" s="11" t="s">
        <v>271</v>
      </c>
      <c r="C36" s="29">
        <f>_xll.BDH("ALGEV FP Equity","MIN_NONCONTROL_INTEREST_CREDITS","FY 2011","FY 2011","Currency=EUR","Period=FY","BEST_FPERIOD_OVERRIDE=FY","FILING_STATUS=MR","SCALING_FORMAT=MLN","FA_ADJUSTED=GAAP","Sort=A","Dates=H","DateFormat=P","Fill=—","Direction=H","UseDPDF=Y")</f>
        <v>5.0000000000000001E-3</v>
      </c>
      <c r="D36" s="29">
        <f>_xll.BDH("ALGEV FP Equity","MIN_NONCONTROL_INTEREST_CREDITS","FY 2012","FY 2012","Currency=EUR","Period=FY","BEST_FPERIOD_OVERRIDE=FY","FILING_STATUS=MR","SCALING_FORMAT=MLN","FA_ADJUSTED=GAAP","Sort=A","Dates=H","DateFormat=P","Fill=—","Direction=H","UseDPDF=Y")</f>
        <v>3.0000000000000001E-3</v>
      </c>
      <c r="E36" s="29">
        <f>_xll.BDH("ALGEV FP Equity","MIN_NONCONTROL_INTEREST_CREDITS","FY 2013","FY 2013","Currency=EUR","Period=FY","BEST_FPERIOD_OVERRIDE=FY","FILING_STATUS=MR","SCALING_FORMAT=MLN","FA_ADJUSTED=GAAP","Sort=A","Dates=H","DateFormat=P","Fill=—","Direction=H","UseDPDF=Y")</f>
        <v>4.0000000000000001E-3</v>
      </c>
      <c r="F36" s="29">
        <f>_xll.BDH("ALGEV FP Equity","MIN_NONCONTROL_INTEREST_CREDITS","FY 2014","FY 2014","Currency=EUR","Period=FY","BEST_FPERIOD_OVERRIDE=FY","FILING_STATUS=MR","SCALING_FORMAT=MLN","FA_ADJUSTED=GAAP","Sort=A","Dates=H","DateFormat=P","Fill=—","Direction=H","UseDPDF=Y")</f>
        <v>3.7999999999999999E-2</v>
      </c>
      <c r="G36" s="29">
        <f>_xll.BDH("ALGEV FP Equity","MIN_NONCONTROL_INTEREST_CREDITS","FY 2015","FY 2015","Currency=EUR","Period=FY","BEST_FPERIOD_OVERRIDE=FY","FILING_STATUS=MR","SCALING_FORMAT=MLN","FA_ADJUSTED=GAAP","Sort=A","Dates=H","DateFormat=P","Fill=—","Direction=H","UseDPDF=Y")</f>
        <v>-1.1599999999999999</v>
      </c>
      <c r="H36" s="29">
        <f>_xll.BDH("ALGEV FP Equity","MIN_NONCONTROL_INTEREST_CREDITS","FY 2016","FY 2016","Currency=EUR","Period=FY","BEST_FPERIOD_OVERRIDE=FY","FILING_STATUS=MR","SCALING_FORMAT=MLN","FA_ADJUSTED=GAAP","Sort=A","Dates=H","DateFormat=P","Fill=—","Direction=H","UseDPDF=Y")</f>
        <v>-5.5E-2</v>
      </c>
      <c r="I36" s="29">
        <f>_xll.BDH("ALGEV FP Equity","MIN_NONCONTROL_INTEREST_CREDITS","FY 2017","FY 2017","Currency=EUR","Period=FY","BEST_FPERIOD_OVERRIDE=FY","FILING_STATUS=MR","SCALING_FORMAT=MLN","FA_ADJUSTED=GAAP","Sort=A","Dates=H","DateFormat=P","Fill=—","Direction=H","UseDPDF=Y")</f>
        <v>0.11600000000000001</v>
      </c>
      <c r="J36" s="29">
        <f>_xll.BDH("ALGEV FP Equity","MIN_NONCONTROL_INTEREST_CREDITS","FY 2018","FY 2018","Currency=EUR","Period=FY","BEST_FPERIOD_OVERRIDE=FY","FILING_STATUS=MR","SCALING_FORMAT=MLN","FA_ADJUSTED=GAAP","Sort=A","Dates=H","DateFormat=P","Fill=—","Direction=H","UseDPDF=Y")</f>
        <v>0.19900000000000001</v>
      </c>
      <c r="K36" s="29">
        <f>_xll.BDH("ALGEV FP Equity","MIN_NONCONTROL_INTEREST_CREDITS","FY 2019","FY 2019","Currency=EUR","Period=FY","BEST_FPERIOD_OVERRIDE=FY","FILING_STATUS=MR","SCALING_FORMAT=MLN","FA_ADJUSTED=GAAP","Sort=A","Dates=H","DateFormat=P","Fill=—","Direction=H","UseDPDF=Y")</f>
        <v>0.28299999999999997</v>
      </c>
      <c r="L36" s="10">
        <v>0.39300000000000002</v>
      </c>
    </row>
    <row r="37" spans="1:12" x14ac:dyDescent="0.25">
      <c r="A37" s="13" t="s">
        <v>272</v>
      </c>
      <c r="B37" s="13" t="s">
        <v>273</v>
      </c>
      <c r="C37" s="32">
        <f>_xll.BDH("ALGEV FP Equity","NET_INCOME","FY 2011","FY 2011","Currency=EUR","Period=FY","BEST_FPERIOD_OVERRIDE=FY","FILING_STATUS=MR","SCALING_FORMAT=MLN","FA_ADJUSTED=GAAP","Sort=A","Dates=H","DateFormat=P","Fill=—","Direction=H","UseDPDF=Y")</f>
        <v>13.718999999999999</v>
      </c>
      <c r="D37" s="32">
        <f>_xll.BDH("ALGEV FP Equity","NET_INCOME","FY 2012","FY 2012","Currency=EUR","Period=FY","BEST_FPERIOD_OVERRIDE=FY","FILING_STATUS=MR","SCALING_FORMAT=MLN","FA_ADJUSTED=GAAP","Sort=A","Dates=H","DateFormat=P","Fill=—","Direction=H","UseDPDF=Y")</f>
        <v>-7.891</v>
      </c>
      <c r="E37" s="32">
        <f>_xll.BDH("ALGEV FP Equity","NET_INCOME","FY 2013","FY 2013","Currency=EUR","Period=FY","BEST_FPERIOD_OVERRIDE=FY","FILING_STATUS=MR","SCALING_FORMAT=MLN","FA_ADJUSTED=GAAP","Sort=A","Dates=H","DateFormat=P","Fill=—","Direction=H","UseDPDF=Y")</f>
        <v>5.6890000000000001</v>
      </c>
      <c r="F37" s="32">
        <f>_xll.BDH("ALGEV FP Equity","NET_INCOME","FY 2014","FY 2014","Currency=EUR","Period=FY","BEST_FPERIOD_OVERRIDE=FY","FILING_STATUS=MR","SCALING_FORMAT=MLN","FA_ADJUSTED=GAAP","Sort=A","Dates=H","DateFormat=P","Fill=—","Direction=H","UseDPDF=Y")</f>
        <v>66.893000000000001</v>
      </c>
      <c r="G37" s="32">
        <f>_xll.BDH("ALGEV FP Equity","NET_INCOME","FY 2015","FY 2015","Currency=EUR","Period=FY","BEST_FPERIOD_OVERRIDE=FY","FILING_STATUS=MR","SCALING_FORMAT=MLN","FA_ADJUSTED=GAAP","Sort=A","Dates=H","DateFormat=P","Fill=—","Direction=H","UseDPDF=Y")</f>
        <v>-2.4300000000000002</v>
      </c>
      <c r="H37" s="32">
        <f>_xll.BDH("ALGEV FP Equity","NET_INCOME","FY 2016","FY 2016","Currency=EUR","Period=FY","BEST_FPERIOD_OVERRIDE=FY","FILING_STATUS=MR","SCALING_FORMAT=MLN","FA_ADJUSTED=GAAP","Sort=A","Dates=H","DateFormat=P","Fill=—","Direction=H","UseDPDF=Y")</f>
        <v>14.621</v>
      </c>
      <c r="I37" s="32">
        <f>_xll.BDH("ALGEV FP Equity","NET_INCOME","FY 2017","FY 2017","Currency=EUR","Period=FY","BEST_FPERIOD_OVERRIDE=FY","FILING_STATUS=MR","SCALING_FORMAT=MLN","FA_ADJUSTED=GAAP","Sort=A","Dates=H","DateFormat=P","Fill=—","Direction=H","UseDPDF=Y")</f>
        <v>1.83</v>
      </c>
      <c r="J37" s="32">
        <f>_xll.BDH("ALGEV FP Equity","NET_INCOME","FY 2018","FY 2018","Currency=EUR","Period=FY","BEST_FPERIOD_OVERRIDE=FY","FILING_STATUS=MR","SCALING_FORMAT=MLN","FA_ADJUSTED=GAAP","Sort=A","Dates=H","DateFormat=P","Fill=—","Direction=H","UseDPDF=Y")</f>
        <v>5.9809999999999999</v>
      </c>
      <c r="K37" s="32">
        <f>_xll.BDH("ALGEV FP Equity","NET_INCOME","FY 2019","FY 2019","Currency=EUR","Period=FY","BEST_FPERIOD_OVERRIDE=FY","FILING_STATUS=MR","SCALING_FORMAT=MLN","FA_ADJUSTED=GAAP","Sort=A","Dates=H","DateFormat=P","Fill=—","Direction=H","UseDPDF=Y")</f>
        <v>8.6539999999999999</v>
      </c>
      <c r="L37" s="12">
        <v>0.38300000000000001</v>
      </c>
    </row>
    <row r="38" spans="1:12" ht="14.45" x14ac:dyDescent="0.35">
      <c r="A38" s="11" t="s">
        <v>274</v>
      </c>
      <c r="B38" s="11" t="s">
        <v>275</v>
      </c>
      <c r="C38" s="29">
        <f>_xll.BDH("ALGEV FP Equity","IS_TOT_CASH_PFD_DVD","FY 2011","FY 2011","Currency=EUR","Period=FY","BEST_FPERIOD_OVERRIDE=FY","FILING_STATUS=MR","SCALING_FORMAT=MLN","Sort=A","Dates=H","DateFormat=P","Fill=—","Direction=H","UseDPDF=Y")</f>
        <v>0</v>
      </c>
      <c r="D38" s="29">
        <f>_xll.BDH("ALGEV FP Equity","IS_TOT_CASH_PFD_DVD","FY 2012","FY 2012","Currency=EUR","Period=FY","BEST_FPERIOD_OVERRIDE=FY","FILING_STATUS=MR","SCALING_FORMAT=MLN","Sort=A","Dates=H","DateFormat=P","Fill=—","Direction=H","UseDPDF=Y")</f>
        <v>0</v>
      </c>
      <c r="E38" s="29">
        <f>_xll.BDH("ALGEV FP Equity","IS_TOT_CASH_PFD_DVD","FY 2013","FY 2013","Currency=EUR","Period=FY","BEST_FPERIOD_OVERRIDE=FY","FILING_STATUS=MR","SCALING_FORMAT=MLN","Sort=A","Dates=H","DateFormat=P","Fill=—","Direction=H","UseDPDF=Y")</f>
        <v>0</v>
      </c>
      <c r="F38" s="29">
        <f>_xll.BDH("ALGEV FP Equity","IS_TOT_CASH_PFD_DVD","FY 2014","FY 2014","Currency=EUR","Period=FY","BEST_FPERIOD_OVERRIDE=FY","FILING_STATUS=MR","SCALING_FORMAT=MLN","Sort=A","Dates=H","DateFormat=P","Fill=—","Direction=H","UseDPDF=Y")</f>
        <v>0</v>
      </c>
      <c r="G38" s="29">
        <f>_xll.BDH("ALGEV FP Equity","IS_TOT_CASH_PFD_DVD","FY 2015","FY 2015","Currency=EUR","Period=FY","BEST_FPERIOD_OVERRIDE=FY","FILING_STATUS=MR","SCALING_FORMAT=MLN","Sort=A","Dates=H","DateFormat=P","Fill=—","Direction=H","UseDPDF=Y")</f>
        <v>0</v>
      </c>
      <c r="H38" s="29">
        <f>_xll.BDH("ALGEV FP Equity","IS_TOT_CASH_PFD_DVD","FY 2016","FY 2016","Currency=EUR","Period=FY","BEST_FPERIOD_OVERRIDE=FY","FILING_STATUS=MR","SCALING_FORMAT=MLN","Sort=A","Dates=H","DateFormat=P","Fill=—","Direction=H","UseDPDF=Y")</f>
        <v>0</v>
      </c>
      <c r="I38" s="29">
        <f>_xll.BDH("ALGEV FP Equity","IS_TOT_CASH_PFD_DVD","FY 2017","FY 2017","Currency=EUR","Period=FY","BEST_FPERIOD_OVERRIDE=FY","FILING_STATUS=MR","SCALING_FORMAT=MLN","Sort=A","Dates=H","DateFormat=P","Fill=—","Direction=H","UseDPDF=Y")</f>
        <v>0</v>
      </c>
      <c r="J38" s="29">
        <f>_xll.BDH("ALGEV FP Equity","IS_TOT_CASH_PFD_DVD","FY 2018","FY 2018","Currency=EUR","Period=FY","BEST_FPERIOD_OVERRIDE=FY","FILING_STATUS=MR","SCALING_FORMAT=MLN","Sort=A","Dates=H","DateFormat=P","Fill=—","Direction=H","UseDPDF=Y")</f>
        <v>0</v>
      </c>
      <c r="K38" s="29">
        <f>_xll.BDH("ALGEV FP Equity","IS_TOT_CASH_PFD_DVD","FY 2019","FY 2019","Currency=EUR","Period=FY","BEST_FPERIOD_OVERRIDE=FY","FILING_STATUS=MR","SCALING_FORMAT=MLN","Sort=A","Dates=H","DateFormat=P","Fill=—","Direction=H","UseDPDF=Y")</f>
        <v>0</v>
      </c>
      <c r="L38" s="10">
        <v>0</v>
      </c>
    </row>
    <row r="39" spans="1:12" ht="14.45" x14ac:dyDescent="0.35">
      <c r="A39" s="11" t="s">
        <v>276</v>
      </c>
      <c r="B39" s="11" t="s">
        <v>277</v>
      </c>
      <c r="C39" s="29" t="str">
        <f>_xll.BDH("ALGEV FP Equity","OTHER_ADJUSTMENTS","FY 2011","FY 2011","Currency=EUR","Period=FY","BEST_FPERIOD_OVERRIDE=FY","FILING_STATUS=MR","SCALING_FORMAT=MLN","Sort=A","Dates=H","DateFormat=P","Fill=—","Direction=H","UseDPDF=Y")</f>
        <v>—</v>
      </c>
      <c r="D39" s="29">
        <f>_xll.BDH("ALGEV FP Equity","OTHER_ADJUSTMENTS","FY 2012","FY 2012","Currency=EUR","Period=FY","BEST_FPERIOD_OVERRIDE=FY","FILING_STATUS=MR","SCALING_FORMAT=MLN","Sort=A","Dates=H","DateFormat=P","Fill=—","Direction=H","UseDPDF=Y")</f>
        <v>0</v>
      </c>
      <c r="E39" s="29">
        <f>_xll.BDH("ALGEV FP Equity","OTHER_ADJUSTMENTS","FY 2013","FY 2013","Currency=EUR","Period=FY","BEST_FPERIOD_OVERRIDE=FY","FILING_STATUS=MR","SCALING_FORMAT=MLN","Sort=A","Dates=H","DateFormat=P","Fill=—","Direction=H","UseDPDF=Y")</f>
        <v>0</v>
      </c>
      <c r="F39" s="29">
        <f>_xll.BDH("ALGEV FP Equity","OTHER_ADJUSTMENTS","FY 2014","FY 2014","Currency=EUR","Period=FY","BEST_FPERIOD_OVERRIDE=FY","FILING_STATUS=MR","SCALING_FORMAT=MLN","Sort=A","Dates=H","DateFormat=P","Fill=—","Direction=H","UseDPDF=Y")</f>
        <v>0</v>
      </c>
      <c r="G39" s="29">
        <f>_xll.BDH("ALGEV FP Equity","OTHER_ADJUSTMENTS","FY 2015","FY 2015","Currency=EUR","Period=FY","BEST_FPERIOD_OVERRIDE=FY","FILING_STATUS=MR","SCALING_FORMAT=MLN","Sort=A","Dates=H","DateFormat=P","Fill=—","Direction=H","UseDPDF=Y")</f>
        <v>0</v>
      </c>
      <c r="H39" s="29">
        <f>_xll.BDH("ALGEV FP Equity","OTHER_ADJUSTMENTS","FY 2016","FY 2016","Currency=EUR","Period=FY","BEST_FPERIOD_OVERRIDE=FY","FILING_STATUS=MR","SCALING_FORMAT=MLN","Sort=A","Dates=H","DateFormat=P","Fill=—","Direction=H","UseDPDF=Y")</f>
        <v>0</v>
      </c>
      <c r="I39" s="29">
        <f>_xll.BDH("ALGEV FP Equity","OTHER_ADJUSTMENTS","FY 2017","FY 2017","Currency=EUR","Period=FY","BEST_FPERIOD_OVERRIDE=FY","FILING_STATUS=MR","SCALING_FORMAT=MLN","Sort=A","Dates=H","DateFormat=P","Fill=—","Direction=H","UseDPDF=Y")</f>
        <v>0</v>
      </c>
      <c r="J39" s="29">
        <f>_xll.BDH("ALGEV FP Equity","OTHER_ADJUSTMENTS","FY 2018","FY 2018","Currency=EUR","Period=FY","BEST_FPERIOD_OVERRIDE=FY","FILING_STATUS=MR","SCALING_FORMAT=MLN","Sort=A","Dates=H","DateFormat=P","Fill=—","Direction=H","UseDPDF=Y")</f>
        <v>0</v>
      </c>
      <c r="K39" s="29">
        <f>_xll.BDH("ALGEV FP Equity","OTHER_ADJUSTMENTS","FY 2019","FY 2019","Currency=EUR","Period=FY","BEST_FPERIOD_OVERRIDE=FY","FILING_STATUS=MR","SCALING_FORMAT=MLN","Sort=A","Dates=H","DateFormat=P","Fill=—","Direction=H","UseDPDF=Y")</f>
        <v>0</v>
      </c>
      <c r="L39" s="10">
        <v>0</v>
      </c>
    </row>
    <row r="40" spans="1:12" x14ac:dyDescent="0.25">
      <c r="A40" s="13" t="s">
        <v>278</v>
      </c>
      <c r="B40" s="13" t="s">
        <v>279</v>
      </c>
      <c r="C40" s="32">
        <f>_xll.BDH("ALGEV FP Equity","EARN_FOR_COMMON","FY 2011","FY 2011","Currency=EUR","Period=FY","BEST_FPERIOD_OVERRIDE=FY","FILING_STATUS=MR","SCALING_FORMAT=MLN","FA_ADJUSTED=GAAP","Sort=A","Dates=H","DateFormat=P","Fill=—","Direction=H","UseDPDF=Y")</f>
        <v>13.718999999999999</v>
      </c>
      <c r="D40" s="32">
        <f>_xll.BDH("ALGEV FP Equity","EARN_FOR_COMMON","FY 2012","FY 2012","Currency=EUR","Period=FY","BEST_FPERIOD_OVERRIDE=FY","FILING_STATUS=MR","SCALING_FORMAT=MLN","FA_ADJUSTED=GAAP","Sort=A","Dates=H","DateFormat=P","Fill=—","Direction=H","UseDPDF=Y")</f>
        <v>-7.891</v>
      </c>
      <c r="E40" s="32">
        <f>_xll.BDH("ALGEV FP Equity","EARN_FOR_COMMON","FY 2013","FY 2013","Currency=EUR","Period=FY","BEST_FPERIOD_OVERRIDE=FY","FILING_STATUS=MR","SCALING_FORMAT=MLN","FA_ADJUSTED=GAAP","Sort=A","Dates=H","DateFormat=P","Fill=—","Direction=H","UseDPDF=Y")</f>
        <v>5.6890000000000001</v>
      </c>
      <c r="F40" s="32">
        <f>_xll.BDH("ALGEV FP Equity","EARN_FOR_COMMON","FY 2014","FY 2014","Currency=EUR","Period=FY","BEST_FPERIOD_OVERRIDE=FY","FILING_STATUS=MR","SCALING_FORMAT=MLN","FA_ADJUSTED=GAAP","Sort=A","Dates=H","DateFormat=P","Fill=—","Direction=H","UseDPDF=Y")</f>
        <v>66.893000000000001</v>
      </c>
      <c r="G40" s="32">
        <f>_xll.BDH("ALGEV FP Equity","EARN_FOR_COMMON","FY 2015","FY 2015","Currency=EUR","Period=FY","BEST_FPERIOD_OVERRIDE=FY","FILING_STATUS=MR","SCALING_FORMAT=MLN","FA_ADJUSTED=GAAP","Sort=A","Dates=H","DateFormat=P","Fill=—","Direction=H","UseDPDF=Y")</f>
        <v>-2.4300000000000002</v>
      </c>
      <c r="H40" s="32">
        <f>_xll.BDH("ALGEV FP Equity","EARN_FOR_COMMON","FY 2016","FY 2016","Currency=EUR","Period=FY","BEST_FPERIOD_OVERRIDE=FY","FILING_STATUS=MR","SCALING_FORMAT=MLN","FA_ADJUSTED=GAAP","Sort=A","Dates=H","DateFormat=P","Fill=—","Direction=H","UseDPDF=Y")</f>
        <v>14.621</v>
      </c>
      <c r="I40" s="32">
        <f>_xll.BDH("ALGEV FP Equity","EARN_FOR_COMMON","FY 2017","FY 2017","Currency=EUR","Period=FY","BEST_FPERIOD_OVERRIDE=FY","FILING_STATUS=MR","SCALING_FORMAT=MLN","FA_ADJUSTED=GAAP","Sort=A","Dates=H","DateFormat=P","Fill=—","Direction=H","UseDPDF=Y")</f>
        <v>1.83</v>
      </c>
      <c r="J40" s="32">
        <f>_xll.BDH("ALGEV FP Equity","EARN_FOR_COMMON","FY 2018","FY 2018","Currency=EUR","Period=FY","BEST_FPERIOD_OVERRIDE=FY","FILING_STATUS=MR","SCALING_FORMAT=MLN","FA_ADJUSTED=GAAP","Sort=A","Dates=H","DateFormat=P","Fill=—","Direction=H","UseDPDF=Y")</f>
        <v>5.9809999999999999</v>
      </c>
      <c r="K40" s="32">
        <f>_xll.BDH("ALGEV FP Equity","EARN_FOR_COMMON","FY 2019","FY 2019","Currency=EUR","Period=FY","BEST_FPERIOD_OVERRIDE=FY","FILING_STATUS=MR","SCALING_FORMAT=MLN","FA_ADJUSTED=GAAP","Sort=A","Dates=H","DateFormat=P","Fill=—","Direction=H","UseDPDF=Y")</f>
        <v>8.6539999999999999</v>
      </c>
      <c r="L40" s="12">
        <v>0.38300005149841299</v>
      </c>
    </row>
    <row r="41" spans="1:12" ht="14.45" x14ac:dyDescent="0.35">
      <c r="A41" s="13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7"/>
    </row>
    <row r="42" spans="1:12" x14ac:dyDescent="0.25">
      <c r="A42" s="13" t="s">
        <v>280</v>
      </c>
      <c r="B42" s="13" t="s">
        <v>279</v>
      </c>
      <c r="C42" s="32">
        <f>_xll.BDH("ALGEV FP Equity","EARN_FOR_COMMON","FY 2011","FY 2011","Currency=EUR","Period=FY","BEST_FPERIOD_OVERRIDE=FY","FILING_STATUS=MR","SCALING_FORMAT=MLN","FA_ADJUSTED=Adjusted","Sort=A","Dates=H","DateFormat=P","Fill=—","Direction=H","UseDPDF=Y")</f>
        <v>13.718999999999999</v>
      </c>
      <c r="D42" s="32">
        <f>_xll.BDH("ALGEV FP Equity","EARN_FOR_COMMON","FY 2012","FY 2012","Currency=EUR","Period=FY","BEST_FPERIOD_OVERRIDE=FY","FILING_STATUS=MR","SCALING_FORMAT=MLN","FA_ADJUSTED=Adjusted","Sort=A","Dates=H","DateFormat=P","Fill=—","Direction=H","UseDPDF=Y")</f>
        <v>-7.891</v>
      </c>
      <c r="E42" s="32">
        <f>_xll.BDH("ALGEV FP Equity","EARN_FOR_COMMON","FY 2013","FY 2013","Currency=EUR","Period=FY","BEST_FPERIOD_OVERRIDE=FY","FILING_STATUS=MR","SCALING_FORMAT=MLN","FA_ADJUSTED=Adjusted","Sort=A","Dates=H","DateFormat=P","Fill=—","Direction=H","UseDPDF=Y")</f>
        <v>5.6890000000000001</v>
      </c>
      <c r="F42" s="32">
        <f>_xll.BDH("ALGEV FP Equity","EARN_FOR_COMMON","FY 2014","FY 2014","Currency=EUR","Period=FY","BEST_FPERIOD_OVERRIDE=FY","FILING_STATUS=MR","SCALING_FORMAT=MLN","FA_ADJUSTED=Adjusted","Sort=A","Dates=H","DateFormat=P","Fill=—","Direction=H","UseDPDF=Y")</f>
        <v>66.893000000000001</v>
      </c>
      <c r="G42" s="32">
        <f>_xll.BDH("ALGEV FP Equity","EARN_FOR_COMMON","FY 2015","FY 2015","Currency=EUR","Period=FY","BEST_FPERIOD_OVERRIDE=FY","FILING_STATUS=MR","SCALING_FORMAT=MLN","FA_ADJUSTED=Adjusted","Sort=A","Dates=H","DateFormat=P","Fill=—","Direction=H","UseDPDF=Y")</f>
        <v>-2.4300000000000002</v>
      </c>
      <c r="H42" s="32">
        <f>_xll.BDH("ALGEV FP Equity","EARN_FOR_COMMON","FY 2016","FY 2016","Currency=EUR","Period=FY","BEST_FPERIOD_OVERRIDE=FY","FILING_STATUS=MR","SCALING_FORMAT=MLN","FA_ADJUSTED=Adjusted","Sort=A","Dates=H","DateFormat=P","Fill=—","Direction=H","UseDPDF=Y")</f>
        <v>8.9246999999999996</v>
      </c>
      <c r="I42" s="32">
        <f>_xll.BDH("ALGEV FP Equity","EARN_FOR_COMMON","FY 2017","FY 2017","Currency=EUR","Period=FY","BEST_FPERIOD_OVERRIDE=FY","FILING_STATUS=MR","SCALING_FORMAT=MLN","FA_ADJUSTED=Adjusted","Sort=A","Dates=H","DateFormat=P","Fill=—","Direction=H","UseDPDF=Y")</f>
        <v>0.46679999999999999</v>
      </c>
      <c r="J42" s="32">
        <f>_xll.BDH("ALGEV FP Equity","EARN_FOR_COMMON","FY 2018","FY 2018","Currency=EUR","Period=FY","BEST_FPERIOD_OVERRIDE=FY","FILING_STATUS=MR","SCALING_FORMAT=MLN","FA_ADJUSTED=Adjusted","Sort=A","Dates=H","DateFormat=P","Fill=—","Direction=H","UseDPDF=Y")</f>
        <v>5.7115</v>
      </c>
      <c r="K42" s="32">
        <f>_xll.BDH("ALGEV FP Equity","EARN_FOR_COMMON","FY 2019","FY 2019","Currency=EUR","Period=FY","BEST_FPERIOD_OVERRIDE=FY","FILING_STATUS=MR","SCALING_FORMAT=MLN","FA_ADJUSTED=Adjusted","Sort=A","Dates=H","DateFormat=P","Fill=—","Direction=H","UseDPDF=Y")</f>
        <v>8.1414000000000009</v>
      </c>
      <c r="L42" s="12">
        <v>-0.150039999198913</v>
      </c>
    </row>
    <row r="43" spans="1:12" ht="14.45" x14ac:dyDescent="0.35">
      <c r="A43" s="11" t="s">
        <v>281</v>
      </c>
      <c r="B43" s="11" t="s">
        <v>282</v>
      </c>
      <c r="C43" s="29" t="str">
        <f>_xll.BDH("ALGEV FP Equity","IS_NET_ABNORMAL_ITEMS","FY 2011","FY 2011","Currency=EUR","Period=FY","BEST_FPERIOD_OVERRIDE=FY","FILING_STATUS=MR","SCALING_FORMAT=MLN","Sort=A","Dates=H","DateFormat=P","Fill=—","Direction=H","UseDPDF=Y")</f>
        <v>—</v>
      </c>
      <c r="D43" s="29">
        <f>_xll.BDH("ALGEV FP Equity","IS_NET_ABNORMAL_ITEMS","FY 2012","FY 2012","Currency=EUR","Period=FY","BEST_FPERIOD_OVERRIDE=FY","FILING_STATUS=MR","SCALING_FORMAT=MLN","Sort=A","Dates=H","DateFormat=P","Fill=—","Direction=H","UseDPDF=Y")</f>
        <v>0</v>
      </c>
      <c r="E43" s="29">
        <f>_xll.BDH("ALGEV FP Equity","IS_NET_ABNORMAL_ITEMS","FY 2013","FY 2013","Currency=EUR","Period=FY","BEST_FPERIOD_OVERRIDE=FY","FILING_STATUS=MR","SCALING_FORMAT=MLN","Sort=A","Dates=H","DateFormat=P","Fill=—","Direction=H","UseDPDF=Y")</f>
        <v>0</v>
      </c>
      <c r="F43" s="29">
        <f>_xll.BDH("ALGEV FP Equity","IS_NET_ABNORMAL_ITEMS","FY 2014","FY 2014","Currency=EUR","Period=FY","BEST_FPERIOD_OVERRIDE=FY","FILING_STATUS=MR","SCALING_FORMAT=MLN","Sort=A","Dates=H","DateFormat=P","Fill=—","Direction=H","UseDPDF=Y")</f>
        <v>0</v>
      </c>
      <c r="G43" s="29">
        <f>_xll.BDH("ALGEV FP Equity","IS_NET_ABNORMAL_ITEMS","FY 2015","FY 2015","Currency=EUR","Period=FY","BEST_FPERIOD_OVERRIDE=FY","FILING_STATUS=MR","SCALING_FORMAT=MLN","Sort=A","Dates=H","DateFormat=P","Fill=—","Direction=H","UseDPDF=Y")</f>
        <v>0</v>
      </c>
      <c r="H43" s="29">
        <f>_xll.BDH("ALGEV FP Equity","IS_NET_ABNORMAL_ITEMS","FY 2016","FY 2016","Currency=EUR","Period=FY","BEST_FPERIOD_OVERRIDE=FY","FILING_STATUS=MR","SCALING_FORMAT=MLN","Sort=A","Dates=H","DateFormat=P","Fill=—","Direction=H","UseDPDF=Y")</f>
        <v>-6.2782999999999998</v>
      </c>
      <c r="I43" s="29">
        <f>_xll.BDH("ALGEV FP Equity","IS_NET_ABNORMAL_ITEMS","FY 2017","FY 2017","Currency=EUR","Period=FY","BEST_FPERIOD_OVERRIDE=FY","FILING_STATUS=MR","SCALING_FORMAT=MLN","Sort=A","Dates=H","DateFormat=P","Fill=—","Direction=H","UseDPDF=Y")</f>
        <v>-13.902200000000001</v>
      </c>
      <c r="J43" s="29">
        <f>_xll.BDH("ALGEV FP Equity","IS_NET_ABNORMAL_ITEMS","FY 2018","FY 2018","Currency=EUR","Period=FY","BEST_FPERIOD_OVERRIDE=FY","FILING_STATUS=MR","SCALING_FORMAT=MLN","Sort=A","Dates=H","DateFormat=P","Fill=—","Direction=H","UseDPDF=Y")</f>
        <v>-0.26950000000000002</v>
      </c>
      <c r="K43" s="29">
        <f>_xll.BDH("ALGEV FP Equity","IS_NET_ABNORMAL_ITEMS","FY 2019","FY 2019","Currency=EUR","Period=FY","BEST_FPERIOD_OVERRIDE=FY","FILING_STATUS=MR","SCALING_FORMAT=MLN","Sort=A","Dates=H","DateFormat=P","Fill=—","Direction=H","UseDPDF=Y")</f>
        <v>-0.51259999999999994</v>
      </c>
      <c r="L43" s="10">
        <v>-0.53303999999999996</v>
      </c>
    </row>
    <row r="44" spans="1:12" ht="14.45" x14ac:dyDescent="0.35">
      <c r="A44" s="11" t="s">
        <v>283</v>
      </c>
      <c r="B44" s="11" t="s">
        <v>263</v>
      </c>
      <c r="C44" s="29">
        <f>_xll.BDH("ALGEV FP Equity","XO_GL_NET_OF_TAX","FY 2011","FY 2011","Currency=EUR","Period=FY","BEST_FPERIOD_OVERRIDE=FY","FILING_STATUS=MR","SCALING_FORMAT=MLN","Sort=A","Dates=H","DateFormat=P","Fill=—","Direction=H","UseDPDF=Y")</f>
        <v>0</v>
      </c>
      <c r="D44" s="29">
        <f>_xll.BDH("ALGEV FP Equity","XO_GL_NET_OF_TAX","FY 2012","FY 2012","Currency=EUR","Period=FY","BEST_FPERIOD_OVERRIDE=FY","FILING_STATUS=MR","SCALING_FORMAT=MLN","Sort=A","Dates=H","DateFormat=P","Fill=—","Direction=H","UseDPDF=Y")</f>
        <v>0</v>
      </c>
      <c r="E44" s="29">
        <f>_xll.BDH("ALGEV FP Equity","XO_GL_NET_OF_TAX","FY 2013","FY 2013","Currency=EUR","Period=FY","BEST_FPERIOD_OVERRIDE=FY","FILING_STATUS=MR","SCALING_FORMAT=MLN","Sort=A","Dates=H","DateFormat=P","Fill=—","Direction=H","UseDPDF=Y")</f>
        <v>-0.36</v>
      </c>
      <c r="F44" s="29">
        <f>_xll.BDH("ALGEV FP Equity","XO_GL_NET_OF_TAX","FY 2014","FY 2014","Currency=EUR","Period=FY","BEST_FPERIOD_OVERRIDE=FY","FILING_STATUS=MR","SCALING_FORMAT=MLN","Sort=A","Dates=H","DateFormat=P","Fill=—","Direction=H","UseDPDF=Y")</f>
        <v>4.8970000000000002</v>
      </c>
      <c r="G44" s="29">
        <f>_xll.BDH("ALGEV FP Equity","XO_GL_NET_OF_TAX","FY 2015","FY 2015","Currency=EUR","Period=FY","BEST_FPERIOD_OVERRIDE=FY","FILING_STATUS=MR","SCALING_FORMAT=MLN","Sort=A","Dates=H","DateFormat=P","Fill=—","Direction=H","UseDPDF=Y")</f>
        <v>0</v>
      </c>
      <c r="H44" s="29">
        <f>_xll.BDH("ALGEV FP Equity","XO_GL_NET_OF_TAX","FY 2016","FY 2016","Currency=EUR","Period=FY","BEST_FPERIOD_OVERRIDE=FY","FILING_STATUS=MR","SCALING_FORMAT=MLN","Sort=A","Dates=H","DateFormat=P","Fill=—","Direction=H","UseDPDF=Y")</f>
        <v>0.58199999999999996</v>
      </c>
      <c r="I44" s="29">
        <f>_xll.BDH("ALGEV FP Equity","XO_GL_NET_OF_TAX","FY 2017","FY 2017","Currency=EUR","Period=FY","BEST_FPERIOD_OVERRIDE=FY","FILING_STATUS=MR","SCALING_FORMAT=MLN","Sort=A","Dates=H","DateFormat=P","Fill=—","Direction=H","UseDPDF=Y")</f>
        <v>12.539</v>
      </c>
      <c r="J44" s="29">
        <f>_xll.BDH("ALGEV FP Equity","XO_GL_NET_OF_TAX","FY 2018","FY 2018","Currency=EUR","Period=FY","BEST_FPERIOD_OVERRIDE=FY","FILING_STATUS=MR","SCALING_FORMAT=MLN","Sort=A","Dates=H","DateFormat=P","Fill=—","Direction=H","UseDPDF=Y")</f>
        <v>0</v>
      </c>
      <c r="K44" s="29">
        <f>_xll.BDH("ALGEV FP Equity","XO_GL_NET_OF_TAX","FY 2019","FY 2019","Currency=EUR","Period=FY","BEST_FPERIOD_OVERRIDE=FY","FILING_STATUS=MR","SCALING_FORMAT=MLN","Sort=A","Dates=H","DateFormat=P","Fill=—","Direction=H","UseDPDF=Y")</f>
        <v>0</v>
      </c>
      <c r="L44" s="10">
        <v>0</v>
      </c>
    </row>
    <row r="45" spans="1:12" ht="14.45" x14ac:dyDescent="0.35">
      <c r="A45" s="13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7"/>
    </row>
    <row r="46" spans="1:12" x14ac:dyDescent="0.25">
      <c r="A46" s="11" t="s">
        <v>284</v>
      </c>
      <c r="B46" s="11" t="s">
        <v>285</v>
      </c>
      <c r="C46" s="29">
        <f>_xll.BDH("ALGEV FP Equity","IS_AVG_NUM_SH_FOR_EPS","FY 2011","FY 2011","Currency=EUR","Period=FY","BEST_FPERIOD_OVERRIDE=FY","FILING_STATUS=MR","Sort=A","Dates=H","DateFormat=P","Fill=—","Direction=H","UseDPDF=Y")</f>
        <v>0.91420000000000001</v>
      </c>
      <c r="D46" s="29">
        <f>_xll.BDH("ALGEV FP Equity","IS_AVG_NUM_SH_FOR_EPS","FY 2012","FY 2012","Currency=EUR","Period=FY","BEST_FPERIOD_OVERRIDE=FY","FILING_STATUS=MR","Sort=A","Dates=H","DateFormat=P","Fill=—","Direction=H","UseDPDF=Y")</f>
        <v>0.90969999999999995</v>
      </c>
      <c r="E46" s="29">
        <f>_xll.BDH("ALGEV FP Equity","IS_AVG_NUM_SH_FOR_EPS","FY 2013","FY 2013","Currency=EUR","Period=FY","BEST_FPERIOD_OVERRIDE=FY","FILING_STATUS=MR","Sort=A","Dates=H","DateFormat=P","Fill=—","Direction=H","UseDPDF=Y")</f>
        <v>0.90880000000000005</v>
      </c>
      <c r="F46" s="29">
        <f>_xll.BDH("ALGEV FP Equity","IS_AVG_NUM_SH_FOR_EPS","FY 2014","FY 2014","Currency=EUR","Period=FY","BEST_FPERIOD_OVERRIDE=FY","FILING_STATUS=MR","Sort=A","Dates=H","DateFormat=P","Fill=—","Direction=H","UseDPDF=Y")</f>
        <v>0.90969999999999995</v>
      </c>
      <c r="G46" s="29">
        <f>_xll.BDH("ALGEV FP Equity","IS_AVG_NUM_SH_FOR_EPS","FY 2015","FY 2015","Currency=EUR","Period=FY","BEST_FPERIOD_OVERRIDE=FY","FILING_STATUS=MR","Sort=A","Dates=H","DateFormat=P","Fill=—","Direction=H","UseDPDF=Y")</f>
        <v>0.89319999999999999</v>
      </c>
      <c r="H46" s="29">
        <f>_xll.BDH("ALGEV FP Equity","IS_AVG_NUM_SH_FOR_EPS","FY 2016","FY 2016","Currency=EUR","Period=FY","BEST_FPERIOD_OVERRIDE=FY","FILING_STATUS=MR","Sort=A","Dates=H","DateFormat=P","Fill=—","Direction=H","UseDPDF=Y")</f>
        <v>0.82050000000000001</v>
      </c>
      <c r="I46" s="29">
        <f>_xll.BDH("ALGEV FP Equity","IS_AVG_NUM_SH_FOR_EPS","FY 2017","FY 2017","Currency=EUR","Period=FY","BEST_FPERIOD_OVERRIDE=FY","FILING_STATUS=MR","Sort=A","Dates=H","DateFormat=P","Fill=—","Direction=H","UseDPDF=Y")</f>
        <v>0.82050000000000001</v>
      </c>
      <c r="J46" s="29">
        <f>_xll.BDH("ALGEV FP Equity","IS_AVG_NUM_SH_FOR_EPS","FY 2018","FY 2018","Currency=EUR","Period=FY","BEST_FPERIOD_OVERRIDE=FY","FILING_STATUS=MR","Sort=A","Dates=H","DateFormat=P","Fill=—","Direction=H","UseDPDF=Y")</f>
        <v>0.78469999999999995</v>
      </c>
      <c r="K46" s="29">
        <f>_xll.BDH("ALGEV FP Equity","IS_AVG_NUM_SH_FOR_EPS","FY 2019","FY 2019","Currency=EUR","Period=FY","BEST_FPERIOD_OVERRIDE=FY","FILING_STATUS=MR","Sort=A","Dates=H","DateFormat=P","Fill=—","Direction=H","UseDPDF=Y")</f>
        <v>0.76949999999999996</v>
      </c>
      <c r="L46" s="10">
        <v>0.76949999999999996</v>
      </c>
    </row>
    <row r="47" spans="1:12" x14ac:dyDescent="0.25">
      <c r="A47" s="13" t="s">
        <v>286</v>
      </c>
      <c r="B47" s="13" t="s">
        <v>287</v>
      </c>
      <c r="C47" s="6">
        <f>_xll.BDH("ALGEV FP Equity","IS_EPS","FY 2011","FY 2011","Currency=EUR","Period=FY","BEST_FPERIOD_OVERRIDE=FY","FILING_STATUS=MR","FA_ADJUSTED=GAAP","Sort=A","Dates=H","DateFormat=P","Fill=—","Direction=H","UseDPDF=Y")</f>
        <v>15.01</v>
      </c>
      <c r="D47" s="6">
        <f>_xll.BDH("ALGEV FP Equity","IS_EPS","FY 2012","FY 2012","Currency=EUR","Period=FY","BEST_FPERIOD_OVERRIDE=FY","FILING_STATUS=MR","FA_ADJUSTED=GAAP","Sort=A","Dates=H","DateFormat=P","Fill=—","Direction=H","UseDPDF=Y")</f>
        <v>-8.67</v>
      </c>
      <c r="E47" s="6">
        <f>_xll.BDH("ALGEV FP Equity","IS_EPS","FY 2013","FY 2013","Currency=EUR","Period=FY","BEST_FPERIOD_OVERRIDE=FY","FILING_STATUS=MR","FA_ADJUSTED=GAAP","Sort=A","Dates=H","DateFormat=P","Fill=—","Direction=H","UseDPDF=Y")</f>
        <v>6.26</v>
      </c>
      <c r="F47" s="6">
        <f>_xll.BDH("ALGEV FP Equity","IS_EPS","FY 2014","FY 2014","Currency=EUR","Period=FY","BEST_FPERIOD_OVERRIDE=FY","FILING_STATUS=MR","FA_ADJUSTED=GAAP","Sort=A","Dates=H","DateFormat=P","Fill=—","Direction=H","UseDPDF=Y")</f>
        <v>73.535799999999995</v>
      </c>
      <c r="G47" s="6">
        <f>_xll.BDH("ALGEV FP Equity","IS_EPS","FY 2015","FY 2015","Currency=EUR","Period=FY","BEST_FPERIOD_OVERRIDE=FY","FILING_STATUS=MR","FA_ADJUSTED=GAAP","Sort=A","Dates=H","DateFormat=P","Fill=—","Direction=H","UseDPDF=Y")</f>
        <v>-2.7204999999999999</v>
      </c>
      <c r="H47" s="6">
        <f>_xll.BDH("ALGEV FP Equity","IS_EPS","FY 2016","FY 2016","Currency=EUR","Period=FY","BEST_FPERIOD_OVERRIDE=FY","FILING_STATUS=MR","FA_ADJUSTED=GAAP","Sort=A","Dates=H","DateFormat=P","Fill=—","Direction=H","UseDPDF=Y")</f>
        <v>17.819600000000001</v>
      </c>
      <c r="I47" s="6">
        <f>_xll.BDH("ALGEV FP Equity","IS_EPS","FY 2017","FY 2017","Currency=EUR","Period=FY","BEST_FPERIOD_OVERRIDE=FY","FILING_STATUS=MR","FA_ADJUSTED=GAAP","Sort=A","Dates=H","DateFormat=P","Fill=—","Direction=H","UseDPDF=Y")</f>
        <v>2.2303000000000002</v>
      </c>
      <c r="J47" s="6">
        <f>_xll.BDH("ALGEV FP Equity","IS_EPS","FY 2018","FY 2018","Currency=EUR","Period=FY","BEST_FPERIOD_OVERRIDE=FY","FILING_STATUS=MR","FA_ADJUSTED=GAAP","Sort=A","Dates=H","DateFormat=P","Fill=—","Direction=H","UseDPDF=Y")</f>
        <v>7.6216999999999997</v>
      </c>
      <c r="K47" s="6">
        <f>_xll.BDH("ALGEV FP Equity","IS_EPS","FY 2019","FY 2019","Currency=EUR","Period=FY","BEST_FPERIOD_OVERRIDE=FY","FILING_STATUS=MR","FA_ADJUSTED=GAAP","Sort=A","Dates=H","DateFormat=P","Fill=—","Direction=H","UseDPDF=Y")</f>
        <v>11.2463</v>
      </c>
      <c r="L47" s="5">
        <v>0.49471900000000002</v>
      </c>
    </row>
    <row r="48" spans="1:12" x14ac:dyDescent="0.25">
      <c r="A48" s="13" t="s">
        <v>288</v>
      </c>
      <c r="B48" s="13" t="s">
        <v>289</v>
      </c>
      <c r="C48" s="6">
        <f>_xll.BDH("ALGEV FP Equity","IS_EARN_BEF_XO_ITEMS_PER_SH","FY 2011","FY 2011","Currency=EUR","Period=FY","BEST_FPERIOD_OVERRIDE=FY","FILING_STATUS=MR","Sort=A","Dates=H","DateFormat=P","Fill=—","Direction=H","UseDPDF=Y")</f>
        <v>15.01</v>
      </c>
      <c r="D48" s="6">
        <f>_xll.BDH("ALGEV FP Equity","IS_EARN_BEF_XO_ITEMS_PER_SH","FY 2012","FY 2012","Currency=EUR","Period=FY","BEST_FPERIOD_OVERRIDE=FY","FILING_STATUS=MR","Sort=A","Dates=H","DateFormat=P","Fill=—","Direction=H","UseDPDF=Y")</f>
        <v>-8.67</v>
      </c>
      <c r="E48" s="6">
        <f>_xll.BDH("ALGEV FP Equity","IS_EARN_BEF_XO_ITEMS_PER_SH","FY 2013","FY 2013","Currency=EUR","Period=FY","BEST_FPERIOD_OVERRIDE=FY","FILING_STATUS=MR","Sort=A","Dates=H","DateFormat=P","Fill=—","Direction=H","UseDPDF=Y")</f>
        <v>5.8639000000000001</v>
      </c>
      <c r="F48" s="6">
        <f>_xll.BDH("ALGEV FP Equity","IS_EARN_BEF_XO_ITEMS_PER_SH","FY 2014","FY 2014","Currency=EUR","Period=FY","BEST_FPERIOD_OVERRIDE=FY","FILING_STATUS=MR","Sort=A","Dates=H","DateFormat=P","Fill=—","Direction=H","UseDPDF=Y")</f>
        <v>78.9191</v>
      </c>
      <c r="G48" s="6">
        <f>_xll.BDH("ALGEV FP Equity","IS_EARN_BEF_XO_ITEMS_PER_SH","FY 2015","FY 2015","Currency=EUR","Period=FY","BEST_FPERIOD_OVERRIDE=FY","FILING_STATUS=MR","Sort=A","Dates=H","DateFormat=P","Fill=—","Direction=H","UseDPDF=Y")</f>
        <v>-2.7204999999999999</v>
      </c>
      <c r="H48" s="6">
        <f>_xll.BDH("ALGEV FP Equity","IS_EARN_BEF_XO_ITEMS_PER_SH","FY 2016","FY 2016","Currency=EUR","Period=FY","BEST_FPERIOD_OVERRIDE=FY","FILING_STATUS=MR","Sort=A","Dates=H","DateFormat=P","Fill=—","Direction=H","UseDPDF=Y")</f>
        <v>18.5289</v>
      </c>
      <c r="I48" s="6">
        <f>_xll.BDH("ALGEV FP Equity","IS_EARN_BEF_XO_ITEMS_PER_SH","FY 2017","FY 2017","Currency=EUR","Period=FY","BEST_FPERIOD_OVERRIDE=FY","FILING_STATUS=MR","Sort=A","Dates=H","DateFormat=P","Fill=—","Direction=H","UseDPDF=Y")</f>
        <v>17.512499999999999</v>
      </c>
      <c r="J48" s="6">
        <f>_xll.BDH("ALGEV FP Equity","IS_EARN_BEF_XO_ITEMS_PER_SH","FY 2018","FY 2018","Currency=EUR","Period=FY","BEST_FPERIOD_OVERRIDE=FY","FILING_STATUS=MR","Sort=A","Dates=H","DateFormat=P","Fill=—","Direction=H","UseDPDF=Y")</f>
        <v>7.6216999999999997</v>
      </c>
      <c r="K48" s="6">
        <f>_xll.BDH("ALGEV FP Equity","IS_EARN_BEF_XO_ITEMS_PER_SH","FY 2019","FY 2019","Currency=EUR","Period=FY","BEST_FPERIOD_OVERRIDE=FY","FILING_STATUS=MR","Sort=A","Dates=H","DateFormat=P","Fill=—","Direction=H","UseDPDF=Y")</f>
        <v>11.2463</v>
      </c>
      <c r="L48" s="5">
        <v>0.49471900000000002</v>
      </c>
    </row>
    <row r="49" spans="1:12" x14ac:dyDescent="0.25">
      <c r="A49" s="13" t="s">
        <v>290</v>
      </c>
      <c r="B49" s="13" t="s">
        <v>291</v>
      </c>
      <c r="C49" s="6">
        <f>_xll.BDH("ALGEV FP Equity","IS_BASIC_EPS_CONT_OPS","FY 2011","FY 2011","Currency=EUR","Period=FY","BEST_FPERIOD_OVERRIDE=FY","FILING_STATUS=MR","Sort=A","Dates=H","DateFormat=P","Fill=—","Direction=H","UseDPDF=Y")</f>
        <v>15.01</v>
      </c>
      <c r="D49" s="6">
        <f>_xll.BDH("ALGEV FP Equity","IS_BASIC_EPS_CONT_OPS","FY 2012","FY 2012","Currency=EUR","Period=FY","BEST_FPERIOD_OVERRIDE=FY","FILING_STATUS=MR","Sort=A","Dates=H","DateFormat=P","Fill=—","Direction=H","UseDPDF=Y")</f>
        <v>-8.67</v>
      </c>
      <c r="E49" s="6">
        <f>_xll.BDH("ALGEV FP Equity","IS_BASIC_EPS_CONT_OPS","FY 2013","FY 2013","Currency=EUR","Period=FY","BEST_FPERIOD_OVERRIDE=FY","FILING_STATUS=MR","Sort=A","Dates=H","DateFormat=P","Fill=—","Direction=H","UseDPDF=Y")</f>
        <v>5.8639000000000001</v>
      </c>
      <c r="F49" s="6">
        <f>_xll.BDH("ALGEV FP Equity","IS_BASIC_EPS_CONT_OPS","FY 2014","FY 2014","Currency=EUR","Period=FY","BEST_FPERIOD_OVERRIDE=FY","FILING_STATUS=MR","Sort=A","Dates=H","DateFormat=P","Fill=—","Direction=H","UseDPDF=Y")</f>
        <v>78.9191</v>
      </c>
      <c r="G49" s="6">
        <f>_xll.BDH("ALGEV FP Equity","IS_BASIC_EPS_CONT_OPS","FY 2015","FY 2015","Currency=EUR","Period=FY","BEST_FPERIOD_OVERRIDE=FY","FILING_STATUS=MR","Sort=A","Dates=H","DateFormat=P","Fill=—","Direction=H","UseDPDF=Y")</f>
        <v>-2.7204999999999999</v>
      </c>
      <c r="H49" s="6">
        <f>_xll.BDH("ALGEV FP Equity","IS_BASIC_EPS_CONT_OPS","FY 2016","FY 2016","Currency=EUR","Period=FY","BEST_FPERIOD_OVERRIDE=FY","FILING_STATUS=MR","Sort=A","Dates=H","DateFormat=P","Fill=—","Direction=H","UseDPDF=Y")</f>
        <v>10.8771</v>
      </c>
      <c r="I49" s="6">
        <f>_xll.BDH("ALGEV FP Equity","IS_BASIC_EPS_CONT_OPS","FY 2017","FY 2017","Currency=EUR","Period=FY","BEST_FPERIOD_OVERRIDE=FY","FILING_STATUS=MR","Sort=A","Dates=H","DateFormat=P","Fill=—","Direction=H","UseDPDF=Y")</f>
        <v>0.56899999999999995</v>
      </c>
      <c r="J49" s="6">
        <f>_xll.BDH("ALGEV FP Equity","IS_BASIC_EPS_CONT_OPS","FY 2018","FY 2018","Currency=EUR","Period=FY","BEST_FPERIOD_OVERRIDE=FY","FILING_STATUS=MR","Sort=A","Dates=H","DateFormat=P","Fill=—","Direction=H","UseDPDF=Y")</f>
        <v>7.2782999999999998</v>
      </c>
      <c r="K49" s="6">
        <f>_xll.BDH("ALGEV FP Equity","IS_BASIC_EPS_CONT_OPS","FY 2019","FY 2019","Currency=EUR","Period=FY","BEST_FPERIOD_OVERRIDE=FY","FILING_STATUS=MR","Sort=A","Dates=H","DateFormat=P","Fill=—","Direction=H","UseDPDF=Y")</f>
        <v>10.5802</v>
      </c>
      <c r="L49" s="5">
        <v>-0.19822000000000001</v>
      </c>
    </row>
    <row r="50" spans="1:12" ht="14.45" x14ac:dyDescent="0.35">
      <c r="A50" s="13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7"/>
    </row>
    <row r="51" spans="1:12" x14ac:dyDescent="0.25">
      <c r="A51" s="11" t="s">
        <v>292</v>
      </c>
      <c r="B51" s="11" t="s">
        <v>293</v>
      </c>
      <c r="C51" s="29">
        <f>_xll.BDH("ALGEV FP Equity","IS_SH_FOR_DILUTED_EPS","FY 2011","FY 2011","Currency=EUR","Period=FY","BEST_FPERIOD_OVERRIDE=FY","FILING_STATUS=MR","Sort=A","Dates=H","DateFormat=P","Fill=—","Direction=H","UseDPDF=Y")</f>
        <v>0.91420000000000001</v>
      </c>
      <c r="D51" s="29">
        <f>_xll.BDH("ALGEV FP Equity","IS_SH_FOR_DILUTED_EPS","FY 2012","FY 2012","Currency=EUR","Period=FY","BEST_FPERIOD_OVERRIDE=FY","FILING_STATUS=MR","Sort=A","Dates=H","DateFormat=P","Fill=—","Direction=H","UseDPDF=Y")</f>
        <v>0.90969999999999995</v>
      </c>
      <c r="E51" s="29">
        <f>_xll.BDH("ALGEV FP Equity","IS_SH_FOR_DILUTED_EPS","FY 2013","FY 2013","Currency=EUR","Period=FY","BEST_FPERIOD_OVERRIDE=FY","FILING_STATUS=MR","Sort=A","Dates=H","DateFormat=P","Fill=—","Direction=H","UseDPDF=Y")</f>
        <v>0.90880000000000005</v>
      </c>
      <c r="F51" s="29">
        <f>_xll.BDH("ALGEV FP Equity","IS_SH_FOR_DILUTED_EPS","FY 2014","FY 2014","Currency=EUR","Period=FY","BEST_FPERIOD_OVERRIDE=FY","FILING_STATUS=MR","Sort=A","Dates=H","DateFormat=P","Fill=—","Direction=H","UseDPDF=Y")</f>
        <v>0.90969999999999995</v>
      </c>
      <c r="G51" s="29">
        <f>_xll.BDH("ALGEV FP Equity","IS_SH_FOR_DILUTED_EPS","FY 2015","FY 2015","Currency=EUR","Period=FY","BEST_FPERIOD_OVERRIDE=FY","FILING_STATUS=MR","Sort=A","Dates=H","DateFormat=P","Fill=—","Direction=H","UseDPDF=Y")</f>
        <v>0.89319999999999999</v>
      </c>
      <c r="H51" s="29">
        <f>_xll.BDH("ALGEV FP Equity","IS_SH_FOR_DILUTED_EPS","FY 2016","FY 2016","Currency=EUR","Period=FY","BEST_FPERIOD_OVERRIDE=FY","FILING_STATUS=MR","Sort=A","Dates=H","DateFormat=P","Fill=—","Direction=H","UseDPDF=Y")</f>
        <v>0.82050000000000001</v>
      </c>
      <c r="I51" s="29">
        <f>_xll.BDH("ALGEV FP Equity","IS_SH_FOR_DILUTED_EPS","FY 2017","FY 2017","Currency=EUR","Period=FY","BEST_FPERIOD_OVERRIDE=FY","FILING_STATUS=MR","Sort=A","Dates=H","DateFormat=P","Fill=—","Direction=H","UseDPDF=Y")</f>
        <v>0.82050000000000001</v>
      </c>
      <c r="J51" s="29">
        <f>_xll.BDH("ALGEV FP Equity","IS_SH_FOR_DILUTED_EPS","FY 2018","FY 2018","Currency=EUR","Period=FY","BEST_FPERIOD_OVERRIDE=FY","FILING_STATUS=MR","Sort=A","Dates=H","DateFormat=P","Fill=—","Direction=H","UseDPDF=Y")</f>
        <v>0.78469999999999995</v>
      </c>
      <c r="K51" s="29">
        <f>_xll.BDH("ALGEV FP Equity","IS_SH_FOR_DILUTED_EPS","FY 2019","FY 2019","Currency=EUR","Period=FY","BEST_FPERIOD_OVERRIDE=FY","FILING_STATUS=MR","Sort=A","Dates=H","DateFormat=P","Fill=—","Direction=H","UseDPDF=Y")</f>
        <v>0.76949999999999996</v>
      </c>
      <c r="L51" s="10">
        <v>0.76949999999999996</v>
      </c>
    </row>
    <row r="52" spans="1:12" x14ac:dyDescent="0.25">
      <c r="A52" s="13" t="s">
        <v>294</v>
      </c>
      <c r="B52" s="13" t="s">
        <v>295</v>
      </c>
      <c r="C52" s="6">
        <f>_xll.BDH("ALGEV FP Equity","IS_DILUTED_EPS","FY 2011","FY 2011","Currency=EUR","Period=FY","BEST_FPERIOD_OVERRIDE=FY","FILING_STATUS=MR","FA_ADJUSTED=GAAP","Sort=A","Dates=H","DateFormat=P","Fill=—","Direction=H","UseDPDF=Y")</f>
        <v>15.01</v>
      </c>
      <c r="D52" s="6">
        <f>_xll.BDH("ALGEV FP Equity","IS_DILUTED_EPS","FY 2012","FY 2012","Currency=EUR","Period=FY","BEST_FPERIOD_OVERRIDE=FY","FILING_STATUS=MR","FA_ADJUSTED=GAAP","Sort=A","Dates=H","DateFormat=P","Fill=—","Direction=H","UseDPDF=Y")</f>
        <v>-8.67</v>
      </c>
      <c r="E52" s="6">
        <f>_xll.BDH("ALGEV FP Equity","IS_DILUTED_EPS","FY 2013","FY 2013","Currency=EUR","Period=FY","BEST_FPERIOD_OVERRIDE=FY","FILING_STATUS=MR","FA_ADJUSTED=GAAP","Sort=A","Dates=H","DateFormat=P","Fill=—","Direction=H","UseDPDF=Y")</f>
        <v>6.26</v>
      </c>
      <c r="F52" s="6">
        <f>_xll.BDH("ALGEV FP Equity","IS_DILUTED_EPS","FY 2014","FY 2014","Currency=EUR","Period=FY","BEST_FPERIOD_OVERRIDE=FY","FILING_STATUS=MR","FA_ADJUSTED=GAAP","Sort=A","Dates=H","DateFormat=P","Fill=—","Direction=H","UseDPDF=Y")</f>
        <v>73.535799999999995</v>
      </c>
      <c r="G52" s="6">
        <f>_xll.BDH("ALGEV FP Equity","IS_DILUTED_EPS","FY 2015","FY 2015","Currency=EUR","Period=FY","BEST_FPERIOD_OVERRIDE=FY","FILING_STATUS=MR","FA_ADJUSTED=GAAP","Sort=A","Dates=H","DateFormat=P","Fill=—","Direction=H","UseDPDF=Y")</f>
        <v>-2.7204999999999999</v>
      </c>
      <c r="H52" s="6">
        <f>_xll.BDH("ALGEV FP Equity","IS_DILUTED_EPS","FY 2016","FY 2016","Currency=EUR","Period=FY","BEST_FPERIOD_OVERRIDE=FY","FILING_STATUS=MR","FA_ADJUSTED=GAAP","Sort=A","Dates=H","DateFormat=P","Fill=—","Direction=H","UseDPDF=Y")</f>
        <v>17.819600000000001</v>
      </c>
      <c r="I52" s="6">
        <f>_xll.BDH("ALGEV FP Equity","IS_DILUTED_EPS","FY 2017","FY 2017","Currency=EUR","Period=FY","BEST_FPERIOD_OVERRIDE=FY","FILING_STATUS=MR","FA_ADJUSTED=GAAP","Sort=A","Dates=H","DateFormat=P","Fill=—","Direction=H","UseDPDF=Y")</f>
        <v>2.2303000000000002</v>
      </c>
      <c r="J52" s="6">
        <f>_xll.BDH("ALGEV FP Equity","IS_DILUTED_EPS","FY 2018","FY 2018","Currency=EUR","Period=FY","BEST_FPERIOD_OVERRIDE=FY","FILING_STATUS=MR","FA_ADJUSTED=GAAP","Sort=A","Dates=H","DateFormat=P","Fill=—","Direction=H","UseDPDF=Y")</f>
        <v>7.6216999999999997</v>
      </c>
      <c r="K52" s="6">
        <f>_xll.BDH("ALGEV FP Equity","IS_DILUTED_EPS","FY 2019","FY 2019","Currency=EUR","Period=FY","BEST_FPERIOD_OVERRIDE=FY","FILING_STATUS=MR","FA_ADJUSTED=GAAP","Sort=A","Dates=H","DateFormat=P","Fill=—","Direction=H","UseDPDF=Y")</f>
        <v>11.2463</v>
      </c>
      <c r="L52" s="5">
        <v>0.49471900000000002</v>
      </c>
    </row>
    <row r="53" spans="1:12" x14ac:dyDescent="0.25">
      <c r="A53" s="13" t="s">
        <v>296</v>
      </c>
      <c r="B53" s="13" t="s">
        <v>297</v>
      </c>
      <c r="C53" s="6">
        <f>_xll.BDH("ALGEV FP Equity","IS_DIL_EPS_BEF_XO","FY 2011","FY 2011","Currency=EUR","Period=FY","BEST_FPERIOD_OVERRIDE=FY","FILING_STATUS=MR","Sort=A","Dates=H","DateFormat=P","Fill=—","Direction=H","UseDPDF=Y")</f>
        <v>15.01</v>
      </c>
      <c r="D53" s="6">
        <f>_xll.BDH("ALGEV FP Equity","IS_DIL_EPS_BEF_XO","FY 2012","FY 2012","Currency=EUR","Period=FY","BEST_FPERIOD_OVERRIDE=FY","FILING_STATUS=MR","Sort=A","Dates=H","DateFormat=P","Fill=—","Direction=H","UseDPDF=Y")</f>
        <v>-8.67</v>
      </c>
      <c r="E53" s="6">
        <f>_xll.BDH("ALGEV FP Equity","IS_DIL_EPS_BEF_XO","FY 2013","FY 2013","Currency=EUR","Period=FY","BEST_FPERIOD_OVERRIDE=FY","FILING_STATUS=MR","Sort=A","Dates=H","DateFormat=P","Fill=—","Direction=H","UseDPDF=Y")</f>
        <v>5.8639000000000001</v>
      </c>
      <c r="F53" s="6">
        <f>_xll.BDH("ALGEV FP Equity","IS_DIL_EPS_BEF_XO","FY 2014","FY 2014","Currency=EUR","Period=FY","BEST_FPERIOD_OVERRIDE=FY","FILING_STATUS=MR","Sort=A","Dates=H","DateFormat=P","Fill=—","Direction=H","UseDPDF=Y")</f>
        <v>78.9191</v>
      </c>
      <c r="G53" s="6">
        <f>_xll.BDH("ALGEV FP Equity","IS_DIL_EPS_BEF_XO","FY 2015","FY 2015","Currency=EUR","Period=FY","BEST_FPERIOD_OVERRIDE=FY","FILING_STATUS=MR","Sort=A","Dates=H","DateFormat=P","Fill=—","Direction=H","UseDPDF=Y")</f>
        <v>-2.7204999999999999</v>
      </c>
      <c r="H53" s="6">
        <f>_xll.BDH("ALGEV FP Equity","IS_DIL_EPS_BEF_XO","FY 2016","FY 2016","Currency=EUR","Period=FY","BEST_FPERIOD_OVERRIDE=FY","FILING_STATUS=MR","Sort=A","Dates=H","DateFormat=P","Fill=—","Direction=H","UseDPDF=Y")</f>
        <v>18.5289</v>
      </c>
      <c r="I53" s="6">
        <f>_xll.BDH("ALGEV FP Equity","IS_DIL_EPS_BEF_XO","FY 2017","FY 2017","Currency=EUR","Period=FY","BEST_FPERIOD_OVERRIDE=FY","FILING_STATUS=MR","Sort=A","Dates=H","DateFormat=P","Fill=—","Direction=H","UseDPDF=Y")</f>
        <v>17.512499999999999</v>
      </c>
      <c r="J53" s="6">
        <f>_xll.BDH("ALGEV FP Equity","IS_DIL_EPS_BEF_XO","FY 2018","FY 2018","Currency=EUR","Period=FY","BEST_FPERIOD_OVERRIDE=FY","FILING_STATUS=MR","Sort=A","Dates=H","DateFormat=P","Fill=—","Direction=H","UseDPDF=Y")</f>
        <v>7.6216999999999997</v>
      </c>
      <c r="K53" s="6">
        <f>_xll.BDH("ALGEV FP Equity","IS_DIL_EPS_BEF_XO","FY 2019","FY 2019","Currency=EUR","Period=FY","BEST_FPERIOD_OVERRIDE=FY","FILING_STATUS=MR","Sort=A","Dates=H","DateFormat=P","Fill=—","Direction=H","UseDPDF=Y")</f>
        <v>11.2463</v>
      </c>
      <c r="L53" s="5">
        <v>0.49471900000000002</v>
      </c>
    </row>
    <row r="54" spans="1:12" x14ac:dyDescent="0.25">
      <c r="A54" s="13" t="s">
        <v>298</v>
      </c>
      <c r="B54" s="13" t="s">
        <v>299</v>
      </c>
      <c r="C54" s="6">
        <f>_xll.BDH("ALGEV FP Equity","IS_DIL_EPS_CONT_OPS","FY 2011","FY 2011","Currency=EUR","Period=FY","BEST_FPERIOD_OVERRIDE=FY","FILING_STATUS=MR","Sort=A","Dates=H","DateFormat=P","Fill=—","Direction=H","UseDPDF=Y")</f>
        <v>15.01</v>
      </c>
      <c r="D54" s="6">
        <f>_xll.BDH("ALGEV FP Equity","IS_DIL_EPS_CONT_OPS","FY 2012","FY 2012","Currency=EUR","Period=FY","BEST_FPERIOD_OVERRIDE=FY","FILING_STATUS=MR","Sort=A","Dates=H","DateFormat=P","Fill=—","Direction=H","UseDPDF=Y")</f>
        <v>-8.67</v>
      </c>
      <c r="E54" s="6">
        <f>_xll.BDH("ALGEV FP Equity","IS_DIL_EPS_CONT_OPS","FY 2013","FY 2013","Currency=EUR","Period=FY","BEST_FPERIOD_OVERRIDE=FY","FILING_STATUS=MR","Sort=A","Dates=H","DateFormat=P","Fill=—","Direction=H","UseDPDF=Y")</f>
        <v>5.8639000000000001</v>
      </c>
      <c r="F54" s="6">
        <f>_xll.BDH("ALGEV FP Equity","IS_DIL_EPS_CONT_OPS","FY 2014","FY 2014","Currency=EUR","Period=FY","BEST_FPERIOD_OVERRIDE=FY","FILING_STATUS=MR","Sort=A","Dates=H","DateFormat=P","Fill=—","Direction=H","UseDPDF=Y")</f>
        <v>78.9191</v>
      </c>
      <c r="G54" s="6">
        <f>_xll.BDH("ALGEV FP Equity","IS_DIL_EPS_CONT_OPS","FY 2015","FY 2015","Currency=EUR","Period=FY","BEST_FPERIOD_OVERRIDE=FY","FILING_STATUS=MR","Sort=A","Dates=H","DateFormat=P","Fill=—","Direction=H","UseDPDF=Y")</f>
        <v>-2.7204999999999999</v>
      </c>
      <c r="H54" s="6">
        <f>_xll.BDH("ALGEV FP Equity","IS_DIL_EPS_CONT_OPS","FY 2016","FY 2016","Currency=EUR","Period=FY","BEST_FPERIOD_OVERRIDE=FY","FILING_STATUS=MR","Sort=A","Dates=H","DateFormat=P","Fill=—","Direction=H","UseDPDF=Y")</f>
        <v>10.8771</v>
      </c>
      <c r="I54" s="6">
        <f>_xll.BDH("ALGEV FP Equity","IS_DIL_EPS_CONT_OPS","FY 2017","FY 2017","Currency=EUR","Period=FY","BEST_FPERIOD_OVERRIDE=FY","FILING_STATUS=MR","Sort=A","Dates=H","DateFormat=P","Fill=—","Direction=H","UseDPDF=Y")</f>
        <v>0.56899999999999995</v>
      </c>
      <c r="J54" s="6">
        <f>_xll.BDH("ALGEV FP Equity","IS_DIL_EPS_CONT_OPS","FY 2018","FY 2018","Currency=EUR","Period=FY","BEST_FPERIOD_OVERRIDE=FY","FILING_STATUS=MR","Sort=A","Dates=H","DateFormat=P","Fill=—","Direction=H","UseDPDF=Y")</f>
        <v>7.2782999999999998</v>
      </c>
      <c r="K54" s="6">
        <f>_xll.BDH("ALGEV FP Equity","IS_DIL_EPS_CONT_OPS","FY 2019","FY 2019","Currency=EUR","Period=FY","BEST_FPERIOD_OVERRIDE=FY","FILING_STATUS=MR","Sort=A","Dates=H","DateFormat=P","Fill=—","Direction=H","UseDPDF=Y")</f>
        <v>10.5802</v>
      </c>
      <c r="L54" s="5">
        <v>-0.19822000000000001</v>
      </c>
    </row>
    <row r="55" spans="1:12" ht="14.45" x14ac:dyDescent="0.35">
      <c r="A55" s="13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7"/>
    </row>
    <row r="56" spans="1:12" x14ac:dyDescent="0.25">
      <c r="A56" s="13" t="s">
        <v>163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7"/>
    </row>
    <row r="57" spans="1:12" x14ac:dyDescent="0.25">
      <c r="A57" s="11" t="s">
        <v>164</v>
      </c>
      <c r="B57" s="11" t="s">
        <v>165</v>
      </c>
      <c r="C57" s="28" t="s">
        <v>166</v>
      </c>
      <c r="D57" s="28" t="s">
        <v>166</v>
      </c>
      <c r="E57" s="28" t="s">
        <v>166</v>
      </c>
      <c r="F57" s="28" t="s">
        <v>166</v>
      </c>
      <c r="G57" s="28" t="s">
        <v>166</v>
      </c>
      <c r="H57" s="28" t="s">
        <v>166</v>
      </c>
      <c r="I57" s="28" t="s">
        <v>166</v>
      </c>
      <c r="J57" s="28" t="s">
        <v>166</v>
      </c>
      <c r="K57" s="28" t="s">
        <v>166</v>
      </c>
      <c r="L57" s="4"/>
    </row>
    <row r="58" spans="1:12" x14ac:dyDescent="0.25">
      <c r="A58" s="11" t="s">
        <v>300</v>
      </c>
      <c r="B58" s="11" t="s">
        <v>300</v>
      </c>
      <c r="C58" s="29">
        <f>_xll.BDH("ALGEV FP Equity","EBITDA","FY 2011","FY 2011","Currency=EUR","Period=FY","BEST_FPERIOD_OVERRIDE=FY","FILING_STATUS=MR","SCALING_FORMAT=MLN","FA_ADJUSTED=Adjusted","Sort=A","Dates=H","DateFormat=P","Fill=—","Direction=H","UseDPDF=Y")</f>
        <v>30.419</v>
      </c>
      <c r="D58" s="29">
        <f>_xll.BDH("ALGEV FP Equity","EBITDA","FY 2012","FY 2012","Currency=EUR","Period=FY","BEST_FPERIOD_OVERRIDE=FY","FILING_STATUS=MR","SCALING_FORMAT=MLN","FA_ADJUSTED=Adjusted","Sort=A","Dates=H","DateFormat=P","Fill=—","Direction=H","UseDPDF=Y")</f>
        <v>18.91</v>
      </c>
      <c r="E58" s="29">
        <f>_xll.BDH("ALGEV FP Equity","EBITDA","FY 2013","FY 2013","Currency=EUR","Period=FY","BEST_FPERIOD_OVERRIDE=FY","FILING_STATUS=MR","SCALING_FORMAT=MLN","FA_ADJUSTED=Adjusted","Sort=A","Dates=H","DateFormat=P","Fill=—","Direction=H","UseDPDF=Y")</f>
        <v>16.91</v>
      </c>
      <c r="F58" s="29">
        <f>_xll.BDH("ALGEV FP Equity","EBITDA","FY 2014","FY 2014","Currency=EUR","Period=FY","BEST_FPERIOD_OVERRIDE=FY","FILING_STATUS=MR","SCALING_FORMAT=MLN","FA_ADJUSTED=Adjusted","Sort=A","Dates=H","DateFormat=P","Fill=—","Direction=H","UseDPDF=Y")</f>
        <v>81.102999999999994</v>
      </c>
      <c r="G58" s="29">
        <f>_xll.BDH("ALGEV FP Equity","EBITDA","FY 2015","FY 2015","Currency=EUR","Period=FY","BEST_FPERIOD_OVERRIDE=FY","FILING_STATUS=MR","SCALING_FORMAT=MLN","FA_ADJUSTED=Adjusted","Sort=A","Dates=H","DateFormat=P","Fill=—","Direction=H","UseDPDF=Y")</f>
        <v>15.706</v>
      </c>
      <c r="H58" s="29">
        <f>_xll.BDH("ALGEV FP Equity","EBITDA","FY 2016","FY 2016","Currency=EUR","Period=FY","BEST_FPERIOD_OVERRIDE=FY","FILING_STATUS=MR","SCALING_FORMAT=MLN","FA_ADJUSTED=Adjusted","Sort=A","Dates=H","DateFormat=P","Fill=—","Direction=H","UseDPDF=Y")</f>
        <v>15.247</v>
      </c>
      <c r="I58" s="29">
        <f>_xll.BDH("ALGEV FP Equity","EBITDA","FY 2017","FY 2017","Currency=EUR","Period=FY","BEST_FPERIOD_OVERRIDE=FY","FILING_STATUS=MR","SCALING_FORMAT=MLN","FA_ADJUSTED=Adjusted","Sort=A","Dates=H","DateFormat=P","Fill=—","Direction=H","UseDPDF=Y")</f>
        <v>7.2270000000000003</v>
      </c>
      <c r="J58" s="29">
        <f>_xll.BDH("ALGEV FP Equity","EBITDA","FY 2018","FY 2018","Currency=EUR","Period=FY","BEST_FPERIOD_OVERRIDE=FY","FILING_STATUS=MR","SCALING_FORMAT=MLN","FA_ADJUSTED=Adjusted","Sort=A","Dates=H","DateFormat=P","Fill=—","Direction=H","UseDPDF=Y")</f>
        <v>10.904999999999999</v>
      </c>
      <c r="K58" s="29">
        <f>_xll.BDH("ALGEV FP Equity","EBITDA","FY 2019","FY 2019","Currency=EUR","Period=FY","BEST_FPERIOD_OVERRIDE=FY","FILING_STATUS=MR","SCALING_FORMAT=MLN","FA_ADJUSTED=Adjusted","Sort=A","Dates=H","DateFormat=P","Fill=—","Direction=H","UseDPDF=Y")</f>
        <v>13.743</v>
      </c>
      <c r="L58" s="10">
        <v>7.6479999999999997</v>
      </c>
    </row>
    <row r="59" spans="1:12" x14ac:dyDescent="0.25">
      <c r="A59" s="11" t="s">
        <v>301</v>
      </c>
      <c r="B59" s="11" t="s">
        <v>302</v>
      </c>
      <c r="C59" s="30">
        <f>_xll.BDH("ALGEV FP Equity","EBITDA_MARGIN","FY 2011","FY 2011","Currency=EUR","Period=FY","BEST_FPERIOD_OVERRIDE=FY","FILING_STATUS=MR","FA_ADJUSTED=Adjusted","Sort=A","Dates=H","DateFormat=P","Fill=—","Direction=H","UseDPDF=Y")</f>
        <v>13.777699999999999</v>
      </c>
      <c r="D59" s="30">
        <f>_xll.BDH("ALGEV FP Equity","EBITDA_MARGIN","FY 2012","FY 2012","Currency=EUR","Period=FY","BEST_FPERIOD_OVERRIDE=FY","FILING_STATUS=MR","FA_ADJUSTED=Adjusted","Sort=A","Dates=H","DateFormat=P","Fill=—","Direction=H","UseDPDF=Y")</f>
        <v>9.3580000000000005</v>
      </c>
      <c r="E59" s="30">
        <f>_xll.BDH("ALGEV FP Equity","EBITDA_MARGIN","FY 2013","FY 2013","Currency=EUR","Period=FY","BEST_FPERIOD_OVERRIDE=FY","FILING_STATUS=MR","FA_ADJUSTED=Adjusted","Sort=A","Dates=H","DateFormat=P","Fill=—","Direction=H","UseDPDF=Y")</f>
        <v>8.4880999999999993</v>
      </c>
      <c r="F59" s="30">
        <f>_xll.BDH("ALGEV FP Equity","EBITDA_MARGIN","FY 2014","FY 2014","Currency=EUR","Period=FY","BEST_FPERIOD_OVERRIDE=FY","FILING_STATUS=MR","FA_ADJUSTED=Adjusted","Sort=A","Dates=H","DateFormat=P","Fill=—","Direction=H","UseDPDF=Y")</f>
        <v>38.291699999999999</v>
      </c>
      <c r="G59" s="30">
        <f>_xll.BDH("ALGEV FP Equity","EBITDA_MARGIN","FY 2015","FY 2015","Currency=EUR","Period=FY","BEST_FPERIOD_OVERRIDE=FY","FILING_STATUS=MR","FA_ADJUSTED=Adjusted","Sort=A","Dates=H","DateFormat=P","Fill=—","Direction=H","UseDPDF=Y")</f>
        <v>7.5922000000000001</v>
      </c>
      <c r="H59" s="30">
        <f>_xll.BDH("ALGEV FP Equity","EBITDA_MARGIN","FY 2016","FY 2016","Currency=EUR","Period=FY","BEST_FPERIOD_OVERRIDE=FY","FILING_STATUS=MR","FA_ADJUSTED=Adjusted","Sort=A","Dates=H","DateFormat=P","Fill=—","Direction=H","UseDPDF=Y")</f>
        <v>16.711099999999998</v>
      </c>
      <c r="I59" s="30">
        <f>_xll.BDH("ALGEV FP Equity","EBITDA_MARGIN","FY 2017","FY 2017","Currency=EUR","Period=FY","BEST_FPERIOD_OVERRIDE=FY","FILING_STATUS=MR","FA_ADJUSTED=Adjusted","Sort=A","Dates=H","DateFormat=P","Fill=—","Direction=H","UseDPDF=Y")</f>
        <v>8.0761000000000003</v>
      </c>
      <c r="J59" s="30">
        <f>_xll.BDH("ALGEV FP Equity","EBITDA_MARGIN","FY 2018","FY 2018","Currency=EUR","Period=FY","BEST_FPERIOD_OVERRIDE=FY","FILING_STATUS=MR","FA_ADJUSTED=Adjusted","Sort=A","Dates=H","DateFormat=P","Fill=—","Direction=H","UseDPDF=Y")</f>
        <v>11.573399999999999</v>
      </c>
      <c r="K59" s="30">
        <f>_xll.BDH("ALGEV FP Equity","EBITDA_MARGIN","FY 2019","FY 2019","Currency=EUR","Period=FY","BEST_FPERIOD_OVERRIDE=FY","FILING_STATUS=MR","FA_ADJUSTED=Adjusted","Sort=A","Dates=H","DateFormat=P","Fill=—","Direction=H","UseDPDF=Y")</f>
        <v>13.248799999999999</v>
      </c>
      <c r="L59" s="3">
        <v>7.9139072847682099</v>
      </c>
    </row>
    <row r="60" spans="1:12" x14ac:dyDescent="0.25">
      <c r="A60" s="11" t="s">
        <v>303</v>
      </c>
      <c r="B60" s="11" t="s">
        <v>303</v>
      </c>
      <c r="C60" s="29">
        <f>_xll.BDH("ALGEV FP Equity","EBITA","FY 2011","FY 2011","Currency=EUR","Period=FY","BEST_FPERIOD_OVERRIDE=FY","FILING_STATUS=MR","SCALING_FORMAT=MLN","FA_ADJUSTED=Adjusted","Sort=A","Dates=H","DateFormat=P","Fill=—","Direction=H","UseDPDF=Y")</f>
        <v>22.2</v>
      </c>
      <c r="D60" s="29">
        <f>_xll.BDH("ALGEV FP Equity","EBITA","FY 2012","FY 2012","Currency=EUR","Period=FY","BEST_FPERIOD_OVERRIDE=FY","FILING_STATUS=MR","SCALING_FORMAT=MLN","FA_ADJUSTED=Adjusted","Sort=A","Dates=H","DateFormat=P","Fill=—","Direction=H","UseDPDF=Y")</f>
        <v>10.33</v>
      </c>
      <c r="E60" s="29">
        <f>_xll.BDH("ALGEV FP Equity","EBITA","FY 2013","FY 2013","Currency=EUR","Period=FY","BEST_FPERIOD_OVERRIDE=FY","FILING_STATUS=MR","SCALING_FORMAT=MLN","FA_ADJUSTED=Adjusted","Sort=A","Dates=H","DateFormat=P","Fill=—","Direction=H","UseDPDF=Y")</f>
        <v>11.542999999999999</v>
      </c>
      <c r="F60" s="29">
        <f>_xll.BDH("ALGEV FP Equity","EBITA","FY 2014","FY 2014","Currency=EUR","Period=FY","BEST_FPERIOD_OVERRIDE=FY","FILING_STATUS=MR","SCALING_FORMAT=MLN","FA_ADJUSTED=Adjusted","Sort=A","Dates=H","DateFormat=P","Fill=—","Direction=H","UseDPDF=Y")</f>
        <v>75.783000000000001</v>
      </c>
      <c r="G60" s="29">
        <f>_xll.BDH("ALGEV FP Equity","EBITA","FY 2015","FY 2015","Currency=EUR","Period=FY","BEST_FPERIOD_OVERRIDE=FY","FILING_STATUS=MR","SCALING_FORMAT=MLN","FA_ADJUSTED=Adjusted","Sort=A","Dates=H","DateFormat=P","Fill=—","Direction=H","UseDPDF=Y")</f>
        <v>8.1310000000000002</v>
      </c>
      <c r="H60" s="29">
        <f>_xll.BDH("ALGEV FP Equity","EBITA","FY 2016","FY 2016","Currency=EUR","Period=FY","BEST_FPERIOD_OVERRIDE=FY","FILING_STATUS=MR","SCALING_FORMAT=MLN","FA_ADJUSTED=Adjusted","Sort=A","Dates=H","DateFormat=P","Fill=—","Direction=H","UseDPDF=Y")</f>
        <v>7.3940000000000001</v>
      </c>
      <c r="I60" s="29">
        <f>_xll.BDH("ALGEV FP Equity","EBITA","FY 2017","FY 2017","Currency=EUR","Period=FY","BEST_FPERIOD_OVERRIDE=FY","FILING_STATUS=MR","SCALING_FORMAT=MLN","FA_ADJUSTED=Adjusted","Sort=A","Dates=H","DateFormat=P","Fill=—","Direction=H","UseDPDF=Y")</f>
        <v>3.9630000000000001</v>
      </c>
      <c r="J60" s="29">
        <f>_xll.BDH("ALGEV FP Equity","EBITA","FY 2018","FY 2018","Currency=EUR","Period=FY","BEST_FPERIOD_OVERRIDE=FY","FILING_STATUS=MR","SCALING_FORMAT=MLN","FA_ADJUSTED=Adjusted","Sort=A","Dates=H","DateFormat=P","Fill=—","Direction=H","UseDPDF=Y")</f>
        <v>7.8159999999999998</v>
      </c>
      <c r="K60" s="29">
        <f>_xll.BDH("ALGEV FP Equity","EBITA","FY 2019","FY 2019","Currency=EUR","Period=FY","BEST_FPERIOD_OVERRIDE=FY","FILING_STATUS=MR","SCALING_FORMAT=MLN","FA_ADJUSTED=Adjusted","Sort=A","Dates=H","DateFormat=P","Fill=—","Direction=H","UseDPDF=Y")</f>
        <v>8.8810000000000002</v>
      </c>
      <c r="L60" s="10">
        <v>2.492</v>
      </c>
    </row>
    <row r="61" spans="1:12" x14ac:dyDescent="0.25">
      <c r="A61" s="11" t="s">
        <v>304</v>
      </c>
      <c r="B61" s="11" t="s">
        <v>304</v>
      </c>
      <c r="C61" s="29">
        <f>_xll.BDH("ALGEV FP Equity","EBIT","FY 2011","FY 2011","Currency=EUR","Period=FY","BEST_FPERIOD_OVERRIDE=FY","FILING_STATUS=MR","SCALING_FORMAT=MLN","FA_ADJUSTED=Adjusted","Sort=A","Dates=H","DateFormat=P","Fill=—","Direction=H","UseDPDF=Y")</f>
        <v>20.774999999999999</v>
      </c>
      <c r="D61" s="29">
        <f>_xll.BDH("ALGEV FP Equity","EBIT","FY 2012","FY 2012","Currency=EUR","Period=FY","BEST_FPERIOD_OVERRIDE=FY","FILING_STATUS=MR","SCALING_FORMAT=MLN","FA_ADJUSTED=Adjusted","Sort=A","Dates=H","DateFormat=P","Fill=—","Direction=H","UseDPDF=Y")</f>
        <v>-12.113</v>
      </c>
      <c r="E61" s="29">
        <f>_xll.BDH("ALGEV FP Equity","EBIT","FY 2013","FY 2013","Currency=EUR","Period=FY","BEST_FPERIOD_OVERRIDE=FY","FILING_STATUS=MR","SCALING_FORMAT=MLN","FA_ADJUSTED=Adjusted","Sort=A","Dates=H","DateFormat=P","Fill=—","Direction=H","UseDPDF=Y")</f>
        <v>6.2190000000000003</v>
      </c>
      <c r="F61" s="29">
        <f>_xll.BDH("ALGEV FP Equity","EBIT","FY 2014","FY 2014","Currency=EUR","Period=FY","BEST_FPERIOD_OVERRIDE=FY","FILING_STATUS=MR","SCALING_FORMAT=MLN","FA_ADJUSTED=Adjusted","Sort=A","Dates=H","DateFormat=P","Fill=—","Direction=H","UseDPDF=Y")</f>
        <v>73.010999999999996</v>
      </c>
      <c r="G61" s="29">
        <f>_xll.BDH("ALGEV FP Equity","EBIT","FY 2015","FY 2015","Currency=EUR","Period=FY","BEST_FPERIOD_OVERRIDE=FY","FILING_STATUS=MR","SCALING_FORMAT=MLN","FA_ADJUSTED=Adjusted","Sort=A","Dates=H","DateFormat=P","Fill=—","Direction=H","UseDPDF=Y")</f>
        <v>3.2490000000000001</v>
      </c>
      <c r="H61" s="29">
        <f>_xll.BDH("ALGEV FP Equity","EBIT","FY 2016","FY 2016","Currency=EUR","Period=FY","BEST_FPERIOD_OVERRIDE=FY","FILING_STATUS=MR","SCALING_FORMAT=MLN","FA_ADJUSTED=Adjusted","Sort=A","Dates=H","DateFormat=P","Fill=—","Direction=H","UseDPDF=Y")</f>
        <v>5.8179999999999996</v>
      </c>
      <c r="I61" s="29">
        <f>_xll.BDH("ALGEV FP Equity","EBIT","FY 2017","FY 2017","Currency=EUR","Period=FY","BEST_FPERIOD_OVERRIDE=FY","FILING_STATUS=MR","SCALING_FORMAT=MLN","FA_ADJUSTED=Adjusted","Sort=A","Dates=H","DateFormat=P","Fill=—","Direction=H","UseDPDF=Y")</f>
        <v>3.5049999999999999</v>
      </c>
      <c r="J61" s="29">
        <f>_xll.BDH("ALGEV FP Equity","EBIT","FY 2018","FY 2018","Currency=EUR","Period=FY","BEST_FPERIOD_OVERRIDE=FY","FILING_STATUS=MR","SCALING_FORMAT=MLN","FA_ADJUSTED=Adjusted","Sort=A","Dates=H","DateFormat=P","Fill=—","Direction=H","UseDPDF=Y")</f>
        <v>7.4889999999999999</v>
      </c>
      <c r="K61" s="29">
        <f>_xll.BDH("ALGEV FP Equity","EBIT","FY 2019","FY 2019","Currency=EUR","Period=FY","BEST_FPERIOD_OVERRIDE=FY","FILING_STATUS=MR","SCALING_FORMAT=MLN","FA_ADJUSTED=Adjusted","Sort=A","Dates=H","DateFormat=P","Fill=—","Direction=H","UseDPDF=Y")</f>
        <v>8.56</v>
      </c>
      <c r="L61" s="10">
        <v>1.831</v>
      </c>
    </row>
    <row r="62" spans="1:12" x14ac:dyDescent="0.25">
      <c r="A62" s="11" t="s">
        <v>305</v>
      </c>
      <c r="B62" s="11" t="s">
        <v>306</v>
      </c>
      <c r="C62" s="30">
        <f>_xll.BDH("ALGEV FP Equity","OPER_MARGIN","FY 2011","FY 2011","Currency=EUR","Period=FY","BEST_FPERIOD_OVERRIDE=FY","FILING_STATUS=MR","FA_ADJUSTED=Adjusted","Sort=A","Dates=H","DateFormat=P","Fill=—","Direction=H","UseDPDF=Y")</f>
        <v>9.4095999999999993</v>
      </c>
      <c r="D62" s="30">
        <f>_xll.BDH("ALGEV FP Equity","OPER_MARGIN","FY 2012","FY 2012","Currency=EUR","Period=FY","BEST_FPERIOD_OVERRIDE=FY","FILING_STATUS=MR","FA_ADJUSTED=Adjusted","Sort=A","Dates=H","DateFormat=P","Fill=—","Direction=H","UseDPDF=Y")</f>
        <v>-5.9943</v>
      </c>
      <c r="E62" s="30">
        <f>_xll.BDH("ALGEV FP Equity","OPER_MARGIN","FY 2013","FY 2013","Currency=EUR","Period=FY","BEST_FPERIOD_OVERRIDE=FY","FILING_STATUS=MR","FA_ADJUSTED=Adjusted","Sort=A","Dates=H","DateFormat=P","Fill=—","Direction=H","UseDPDF=Y")</f>
        <v>3.1217000000000001</v>
      </c>
      <c r="F62" s="30">
        <f>_xll.BDH("ALGEV FP Equity","OPER_MARGIN","FY 2014","FY 2014","Currency=EUR","Period=FY","BEST_FPERIOD_OVERRIDE=FY","FILING_STATUS=MR","FA_ADJUSTED=Adjusted","Sort=A","Dates=H","DateFormat=P","Fill=—","Direction=H","UseDPDF=Y")</f>
        <v>34.471200000000003</v>
      </c>
      <c r="G62" s="30">
        <f>_xll.BDH("ALGEV FP Equity","OPER_MARGIN","FY 2015","FY 2015","Currency=EUR","Period=FY","BEST_FPERIOD_OVERRIDE=FY","FILING_STATUS=MR","FA_ADJUSTED=Adjusted","Sort=A","Dates=H","DateFormat=P","Fill=—","Direction=H","UseDPDF=Y")</f>
        <v>1.5706</v>
      </c>
      <c r="H62" s="30">
        <f>_xll.BDH("ALGEV FP Equity","OPER_MARGIN","FY 2016","FY 2016","Currency=EUR","Period=FY","BEST_FPERIOD_OVERRIDE=FY","FILING_STATUS=MR","FA_ADJUSTED=Adjusted","Sort=A","Dates=H","DateFormat=P","Fill=—","Direction=H","UseDPDF=Y")</f>
        <v>6.3766999999999996</v>
      </c>
      <c r="I62" s="30">
        <f>_xll.BDH("ALGEV FP Equity","OPER_MARGIN","FY 2017","FY 2017","Currency=EUR","Period=FY","BEST_FPERIOD_OVERRIDE=FY","FILING_STATUS=MR","FA_ADJUSTED=Adjusted","Sort=A","Dates=H","DateFormat=P","Fill=—","Direction=H","UseDPDF=Y")</f>
        <v>3.9167999999999998</v>
      </c>
      <c r="J62" s="30">
        <f>_xll.BDH("ALGEV FP Equity","OPER_MARGIN","FY 2018","FY 2018","Currency=EUR","Period=FY","BEST_FPERIOD_OVERRIDE=FY","FILING_STATUS=MR","FA_ADJUSTED=Adjusted","Sort=A","Dates=H","DateFormat=P","Fill=—","Direction=H","UseDPDF=Y")</f>
        <v>7.9480000000000004</v>
      </c>
      <c r="K62" s="30">
        <f>_xll.BDH("ALGEV FP Equity","OPER_MARGIN","FY 2019","FY 2019","Currency=EUR","Period=FY","BEST_FPERIOD_OVERRIDE=FY","FILING_STATUS=MR","FA_ADJUSTED=Adjusted","Sort=A","Dates=H","DateFormat=P","Fill=—","Direction=H","UseDPDF=Y")</f>
        <v>8.2522000000000002</v>
      </c>
      <c r="L62" s="3">
        <v>1.89466059602649</v>
      </c>
    </row>
    <row r="63" spans="1:12" x14ac:dyDescent="0.25">
      <c r="A63" s="11" t="s">
        <v>307</v>
      </c>
      <c r="B63" s="11" t="s">
        <v>308</v>
      </c>
      <c r="C63" s="30">
        <f>_xll.BDH("ALGEV FP Equity","PROF_MARGIN","FY 2011","FY 2011","Currency=EUR","Period=FY","BEST_FPERIOD_OVERRIDE=FY","FILING_STATUS=MR","FA_ADJUSTED=Adjusted","Sort=A","Dates=H","DateFormat=P","Fill=—","Direction=H","UseDPDF=Y")</f>
        <v>6.2138</v>
      </c>
      <c r="D63" s="30">
        <f>_xll.BDH("ALGEV FP Equity","PROF_MARGIN","FY 2012","FY 2012","Currency=EUR","Period=FY","BEST_FPERIOD_OVERRIDE=FY","FILING_STATUS=MR","FA_ADJUSTED=Adjusted","Sort=A","Dates=H","DateFormat=P","Fill=—","Direction=H","UseDPDF=Y")</f>
        <v>-3.9050000000000002</v>
      </c>
      <c r="E63" s="30">
        <f>_xll.BDH("ALGEV FP Equity","PROF_MARGIN","FY 2013","FY 2013","Currency=EUR","Period=FY","BEST_FPERIOD_OVERRIDE=FY","FILING_STATUS=MR","FA_ADJUSTED=Adjusted","Sort=A","Dates=H","DateFormat=P","Fill=—","Direction=H","UseDPDF=Y")</f>
        <v>2.8555999999999999</v>
      </c>
      <c r="F63" s="30">
        <f>_xll.BDH("ALGEV FP Equity","PROF_MARGIN","FY 2014","FY 2014","Currency=EUR","Period=FY","BEST_FPERIOD_OVERRIDE=FY","FILING_STATUS=MR","FA_ADJUSTED=Adjusted","Sort=A","Dates=H","DateFormat=P","Fill=—","Direction=H","UseDPDF=Y")</f>
        <v>31.582599999999999</v>
      </c>
      <c r="G63" s="30">
        <f>_xll.BDH("ALGEV FP Equity","PROF_MARGIN","FY 2015","FY 2015","Currency=EUR","Period=FY","BEST_FPERIOD_OVERRIDE=FY","FILING_STATUS=MR","FA_ADJUSTED=Adjusted","Sort=A","Dates=H","DateFormat=P","Fill=—","Direction=H","UseDPDF=Y")</f>
        <v>-1.1747000000000001</v>
      </c>
      <c r="H63" s="30">
        <f>_xll.BDH("ALGEV FP Equity","PROF_MARGIN","FY 2016","FY 2016","Currency=EUR","Period=FY","BEST_FPERIOD_OVERRIDE=FY","FILING_STATUS=MR","FA_ADJUSTED=Adjusted","Sort=A","Dates=H","DateFormat=P","Fill=—","Direction=H","UseDPDF=Y")</f>
        <v>9.7815999999999992</v>
      </c>
      <c r="I63" s="30">
        <f>_xll.BDH("ALGEV FP Equity","PROF_MARGIN","FY 2017","FY 2017","Currency=EUR","Period=FY","BEST_FPERIOD_OVERRIDE=FY","FILING_STATUS=MR","FA_ADJUSTED=Adjusted","Sort=A","Dates=H","DateFormat=P","Fill=—","Direction=H","UseDPDF=Y")</f>
        <v>0.52170000000000005</v>
      </c>
      <c r="J63" s="30">
        <f>_xll.BDH("ALGEV FP Equity","PROF_MARGIN","FY 2018","FY 2018","Currency=EUR","Period=FY","BEST_FPERIOD_OVERRIDE=FY","FILING_STATUS=MR","FA_ADJUSTED=Adjusted","Sort=A","Dates=H","DateFormat=P","Fill=—","Direction=H","UseDPDF=Y")</f>
        <v>6.0616000000000003</v>
      </c>
      <c r="K63" s="30">
        <f>_xll.BDH("ALGEV FP Equity","PROF_MARGIN","FY 2019","FY 2019","Currency=EUR","Period=FY","BEST_FPERIOD_OVERRIDE=FY","FILING_STATUS=MR","FA_ADJUSTED=Adjusted","Sort=A","Dates=H","DateFormat=P","Fill=—","Direction=H","UseDPDF=Y")</f>
        <v>7.8487</v>
      </c>
      <c r="L63" s="3">
        <v>-0.155256622516556</v>
      </c>
    </row>
    <row r="64" spans="1:12" x14ac:dyDescent="0.25">
      <c r="A64" s="11" t="s">
        <v>309</v>
      </c>
      <c r="B64" s="11" t="s">
        <v>310</v>
      </c>
      <c r="C64" s="30">
        <f>_xll.BDH("ALGEV FP Equity","ACTUAL_SALES_PER_EMPL","FY 2011","FY 2011","Currency=EUR","Period=FY","BEST_FPERIOD_OVERRIDE=FY","FILING_STATUS=MR","FA_ADJUSTED=Adjusted","Sort=A","Dates=H","DateFormat=P","Fill=—","Direction=H","UseDPDF=Y")</f>
        <v>184756.48540000001</v>
      </c>
      <c r="D64" s="30">
        <f>_xll.BDH("ALGEV FP Equity","ACTUAL_SALES_PER_EMPL","FY 2012","FY 2012","Currency=EUR","Period=FY","BEST_FPERIOD_OVERRIDE=FY","FILING_STATUS=MR","FA_ADJUSTED=Adjusted","Sort=A","Dates=H","DateFormat=P","Fill=—","Direction=H","UseDPDF=Y")</f>
        <v>161529.976</v>
      </c>
      <c r="E64" s="30">
        <f>_xll.BDH("ALGEV FP Equity","ACTUAL_SALES_PER_EMPL","FY 2013","FY 2013","Currency=EUR","Period=FY","BEST_FPERIOD_OVERRIDE=FY","FILING_STATUS=MR","FA_ADJUSTED=Adjusted","Sort=A","Dates=H","DateFormat=P","Fill=—","Direction=H","UseDPDF=Y")</f>
        <v>157114.35329999999</v>
      </c>
      <c r="F64" s="30">
        <f>_xll.BDH("ALGEV FP Equity","ACTUAL_SALES_PER_EMPL","FY 2014","FY 2014","Currency=EUR","Period=FY","BEST_FPERIOD_OVERRIDE=FY","FILING_STATUS=MR","FA_ADJUSTED=Adjusted","Sort=A","Dates=H","DateFormat=P","Fill=—","Direction=H","UseDPDF=Y")</f>
        <v>148738.0618</v>
      </c>
      <c r="G64" s="30">
        <f>_xll.BDH("ALGEV FP Equity","ACTUAL_SALES_PER_EMPL","FY 2015","FY 2015","Currency=EUR","Period=FY","BEST_FPERIOD_OVERRIDE=FY","FILING_STATUS=MR","FA_ADJUSTED=Adjusted","Sort=A","Dates=H","DateFormat=P","Fill=—","Direction=H","UseDPDF=Y")</f>
        <v>158521.07279999999</v>
      </c>
      <c r="H64" s="30">
        <f>_xll.BDH("ALGEV FP Equity","ACTUAL_SALES_PER_EMPL","FY 2016","FY 2016","Currency=EUR","Period=FY","BEST_FPERIOD_OVERRIDE=FY","FILING_STATUS=MR","FA_ADJUSTED=Adjusted","Sort=A","Dates=H","DateFormat=P","Fill=—","Direction=H","UseDPDF=Y")</f>
        <v>72584.7255</v>
      </c>
      <c r="I64" s="30">
        <f>_xll.BDH("ALGEV FP Equity","ACTUAL_SALES_PER_EMPL","FY 2017","FY 2017","Currency=EUR","Period=FY","BEST_FPERIOD_OVERRIDE=FY","FILING_STATUS=MR","FA_ADJUSTED=Adjusted","Sort=A","Dates=H","DateFormat=P","Fill=—","Direction=H","UseDPDF=Y")</f>
        <v>68205.792700000005</v>
      </c>
      <c r="J64" s="30">
        <f>_xll.BDH("ALGEV FP Equity","ACTUAL_SALES_PER_EMPL","FY 2018","FY 2018","Currency=EUR","Period=FY","BEST_FPERIOD_OVERRIDE=FY","FILING_STATUS=MR","FA_ADJUSTED=Adjusted","Sort=A","Dates=H","DateFormat=P","Fill=—","Direction=H","UseDPDF=Y")</f>
        <v>151731.07889999999</v>
      </c>
      <c r="K64" s="30">
        <f>_xll.BDH("ALGEV FP Equity","ACTUAL_SALES_PER_EMPL","FY 2019","FY 2019","Currency=EUR","Period=FY","BEST_FPERIOD_OVERRIDE=FY","FILING_STATUS=MR","FA_ADJUSTED=Adjusted","Sort=A","Dates=H","DateFormat=P","Fill=—","Direction=H","UseDPDF=Y")</f>
        <v>145688.2022</v>
      </c>
      <c r="L64" s="3">
        <v>136584.23765165301</v>
      </c>
    </row>
    <row r="65" spans="1:12" x14ac:dyDescent="0.25">
      <c r="A65" s="11" t="s">
        <v>311</v>
      </c>
      <c r="B65" s="11" t="s">
        <v>312</v>
      </c>
      <c r="C65" s="30">
        <f>_xll.BDH("ALGEV FP Equity","EQY_DPS","FY 2011","FY 2011","Currency=EUR","Period=FY","BEST_FPERIOD_OVERRIDE=FY","FILING_STATUS=MR","Sort=A","Dates=H","DateFormat=P","Fill=—","Direction=H","UseDPDF=Y")</f>
        <v>1.8</v>
      </c>
      <c r="D65" s="30">
        <f>_xll.BDH("ALGEV FP Equity","EQY_DPS","FY 2012","FY 2012","Currency=EUR","Period=FY","BEST_FPERIOD_OVERRIDE=FY","FILING_STATUS=MR","Sort=A","Dates=H","DateFormat=P","Fill=—","Direction=H","UseDPDF=Y")</f>
        <v>1.8</v>
      </c>
      <c r="E65" s="30">
        <f>_xll.BDH("ALGEV FP Equity","EQY_DPS","FY 2013","FY 2013","Currency=EUR","Period=FY","BEST_FPERIOD_OVERRIDE=FY","FILING_STATUS=MR","Sort=A","Dates=H","DateFormat=P","Fill=—","Direction=H","UseDPDF=Y")</f>
        <v>1.8</v>
      </c>
      <c r="F65" s="30">
        <f>_xll.BDH("ALGEV FP Equity","EQY_DPS","FY 2014","FY 2014","Currency=EUR","Period=FY","BEST_FPERIOD_OVERRIDE=FY","FILING_STATUS=MR","Sort=A","Dates=H","DateFormat=P","Fill=—","Direction=H","UseDPDF=Y")</f>
        <v>1.8</v>
      </c>
      <c r="G65" s="30">
        <f>_xll.BDH("ALGEV FP Equity","EQY_DPS","FY 2015","FY 2015","Currency=EUR","Period=FY","BEST_FPERIOD_OVERRIDE=FY","FILING_STATUS=MR","Sort=A","Dates=H","DateFormat=P","Fill=—","Direction=H","UseDPDF=Y")</f>
        <v>1.8</v>
      </c>
      <c r="H65" s="30">
        <f>_xll.BDH("ALGEV FP Equity","EQY_DPS","FY 2016","FY 2016","Currency=EUR","Period=FY","BEST_FPERIOD_OVERRIDE=FY","FILING_STATUS=MR","Sort=A","Dates=H","DateFormat=P","Fill=—","Direction=H","UseDPDF=Y")</f>
        <v>1.8</v>
      </c>
      <c r="I65" s="30">
        <f>_xll.BDH("ALGEV FP Equity","EQY_DPS","FY 2017","FY 2017","Currency=EUR","Period=FY","BEST_FPERIOD_OVERRIDE=FY","FILING_STATUS=MR","Sort=A","Dates=H","DateFormat=P","Fill=—","Direction=H","UseDPDF=Y")</f>
        <v>1.8</v>
      </c>
      <c r="J65" s="30">
        <f>_xll.BDH("ALGEV FP Equity","EQY_DPS","FY 2018","FY 2018","Currency=EUR","Period=FY","BEST_FPERIOD_OVERRIDE=FY","FILING_STATUS=MR","Sort=A","Dates=H","DateFormat=P","Fill=—","Direction=H","UseDPDF=Y")</f>
        <v>1.8</v>
      </c>
      <c r="K65" s="30">
        <f>_xll.BDH("ALGEV FP Equity","EQY_DPS","FY 2019","FY 2019","Currency=EUR","Period=FY","BEST_FPERIOD_OVERRIDE=FY","FILING_STATUS=MR","Sort=A","Dates=H","DateFormat=P","Fill=—","Direction=H","UseDPDF=Y")</f>
        <v>1.8</v>
      </c>
      <c r="L65" s="3"/>
    </row>
    <row r="66" spans="1:12" x14ac:dyDescent="0.25">
      <c r="A66" s="11" t="s">
        <v>313</v>
      </c>
      <c r="B66" s="11" t="s">
        <v>314</v>
      </c>
      <c r="C66" s="29">
        <f>_xll.BDH("ALGEV FP Equity","IS_TOT_CASH_COM_DVD","FY 2011","FY 2011","Currency=EUR","Period=FY","BEST_FPERIOD_OVERRIDE=FY","FILING_STATUS=MR","SCALING_FORMAT=MLN","Sort=A","Dates=H","DateFormat=P","Fill=—","Direction=H","UseDPDF=Y")</f>
        <v>1.6419000000000001</v>
      </c>
      <c r="D66" s="29">
        <f>_xll.BDH("ALGEV FP Equity","IS_TOT_CASH_COM_DVD","FY 2012","FY 2012","Currency=EUR","Period=FY","BEST_FPERIOD_OVERRIDE=FY","FILING_STATUS=MR","SCALING_FORMAT=MLN","Sort=A","Dates=H","DateFormat=P","Fill=—","Direction=H","UseDPDF=Y")</f>
        <v>1.6374</v>
      </c>
      <c r="E66" s="29">
        <f>_xll.BDH("ALGEV FP Equity","IS_TOT_CASH_COM_DVD","FY 2013","FY 2013","Currency=EUR","Period=FY","BEST_FPERIOD_OVERRIDE=FY","FILING_STATUS=MR","SCALING_FORMAT=MLN","Sort=A","Dates=H","DateFormat=P","Fill=—","Direction=H","UseDPDF=Y")</f>
        <v>1.6307</v>
      </c>
      <c r="F66" s="29">
        <f>_xll.BDH("ALGEV FP Equity","IS_TOT_CASH_COM_DVD","FY 2014","FY 2014","Currency=EUR","Period=FY","BEST_FPERIOD_OVERRIDE=FY","FILING_STATUS=MR","SCALING_FORMAT=MLN","Sort=A","Dates=H","DateFormat=P","Fill=—","Direction=H","UseDPDF=Y")</f>
        <v>1.6374</v>
      </c>
      <c r="G66" s="29">
        <f>_xll.BDH("ALGEV FP Equity","IS_TOT_CASH_COM_DVD","FY 2015","FY 2015","Currency=EUR","Period=FY","BEST_FPERIOD_OVERRIDE=FY","FILING_STATUS=MR","SCALING_FORMAT=MLN","Sort=A","Dates=H","DateFormat=P","Fill=—","Direction=H","UseDPDF=Y")</f>
        <v>1.6078000000000001</v>
      </c>
      <c r="H66" s="29">
        <f>_xll.BDH("ALGEV FP Equity","IS_TOT_CASH_COM_DVD","FY 2016","FY 2016","Currency=EUR","Period=FY","BEST_FPERIOD_OVERRIDE=FY","FILING_STATUS=MR","SCALING_FORMAT=MLN","Sort=A","Dates=H","DateFormat=P","Fill=—","Direction=H","UseDPDF=Y")</f>
        <v>1.4769000000000001</v>
      </c>
      <c r="I66" s="29">
        <f>_xll.BDH("ALGEV FP Equity","IS_TOT_CASH_COM_DVD","FY 2017","FY 2017","Currency=EUR","Period=FY","BEST_FPERIOD_OVERRIDE=FY","FILING_STATUS=MR","SCALING_FORMAT=MLN","Sort=A","Dates=H","DateFormat=P","Fill=—","Direction=H","UseDPDF=Y")</f>
        <v>1.4769000000000001</v>
      </c>
      <c r="J66" s="29">
        <f>_xll.BDH("ALGEV FP Equity","IS_TOT_CASH_COM_DVD","FY 2018","FY 2018","Currency=EUR","Period=FY","BEST_FPERIOD_OVERRIDE=FY","FILING_STATUS=MR","SCALING_FORMAT=MLN","Sort=A","Dates=H","DateFormat=P","Fill=—","Direction=H","UseDPDF=Y")</f>
        <v>1.3851</v>
      </c>
      <c r="K66" s="29">
        <f>_xll.BDH("ALGEV FP Equity","IS_TOT_CASH_COM_DVD","FY 2019","FY 2019","Currency=EUR","Period=FY","BEST_FPERIOD_OVERRIDE=FY","FILING_STATUS=MR","SCALING_FORMAT=MLN","Sort=A","Dates=H","DateFormat=P","Fill=—","Direction=H","UseDPDF=Y")</f>
        <v>1.3851</v>
      </c>
      <c r="L66" s="10"/>
    </row>
    <row r="67" spans="1:12" x14ac:dyDescent="0.25">
      <c r="A67" s="11" t="s">
        <v>315</v>
      </c>
      <c r="B67" s="11" t="s">
        <v>316</v>
      </c>
      <c r="C67" s="29" t="str">
        <f>_xll.BDH("ALGEV FP Equity","IS_PERSONNEL_EXP","FY 2011","FY 2011","Currency=EUR","Period=FY","BEST_FPERIOD_OVERRIDE=FY","FILING_STATUS=MR","SCALING_FORMAT=MLN","Sort=A","Dates=H","DateFormat=P","Fill=—","Direction=H","UseDPDF=Y")</f>
        <v>—</v>
      </c>
      <c r="D67" s="29" t="str">
        <f>_xll.BDH("ALGEV FP Equity","IS_PERSONNEL_EXP","FY 2012","FY 2012","Currency=EUR","Period=FY","BEST_FPERIOD_OVERRIDE=FY","FILING_STATUS=MR","SCALING_FORMAT=MLN","Sort=A","Dates=H","DateFormat=P","Fill=—","Direction=H","UseDPDF=Y")</f>
        <v>—</v>
      </c>
      <c r="E67" s="29" t="str">
        <f>_xll.BDH("ALGEV FP Equity","IS_PERSONNEL_EXP","FY 2013","FY 2013","Currency=EUR","Period=FY","BEST_FPERIOD_OVERRIDE=FY","FILING_STATUS=MR","SCALING_FORMAT=MLN","Sort=A","Dates=H","DateFormat=P","Fill=—","Direction=H","UseDPDF=Y")</f>
        <v>—</v>
      </c>
      <c r="F67" s="29" t="str">
        <f>_xll.BDH("ALGEV FP Equity","IS_PERSONNEL_EXP","FY 2014","FY 2014","Currency=EUR","Period=FY","BEST_FPERIOD_OVERRIDE=FY","FILING_STATUS=MR","SCALING_FORMAT=MLN","Sort=A","Dates=H","DateFormat=P","Fill=—","Direction=H","UseDPDF=Y")</f>
        <v>—</v>
      </c>
      <c r="G67" s="29" t="str">
        <f>_xll.BDH("ALGEV FP Equity","IS_PERSONNEL_EXP","FY 2015","FY 2015","Currency=EUR","Period=FY","BEST_FPERIOD_OVERRIDE=FY","FILING_STATUS=MR","SCALING_FORMAT=MLN","Sort=A","Dates=H","DateFormat=P","Fill=—","Direction=H","UseDPDF=Y")</f>
        <v>—</v>
      </c>
      <c r="H67" s="29" t="str">
        <f>_xll.BDH("ALGEV FP Equity","IS_PERSONNEL_EXP","FY 2016","FY 2016","Currency=EUR","Period=FY","BEST_FPERIOD_OVERRIDE=FY","FILING_STATUS=MR","SCALING_FORMAT=MLN","Sort=A","Dates=H","DateFormat=P","Fill=—","Direction=H","UseDPDF=Y")</f>
        <v>—</v>
      </c>
      <c r="I67" s="29" t="str">
        <f>_xll.BDH("ALGEV FP Equity","IS_PERSONNEL_EXP","FY 2017","FY 2017","Currency=EUR","Period=FY","BEST_FPERIOD_OVERRIDE=FY","FILING_STATUS=MR","SCALING_FORMAT=MLN","Sort=A","Dates=H","DateFormat=P","Fill=—","Direction=H","UseDPDF=Y")</f>
        <v>—</v>
      </c>
      <c r="J67" s="29" t="str">
        <f>_xll.BDH("ALGEV FP Equity","IS_PERSONNEL_EXP","FY 2018","FY 2018","Currency=EUR","Period=FY","BEST_FPERIOD_OVERRIDE=FY","FILING_STATUS=MR","SCALING_FORMAT=MLN","Sort=A","Dates=H","DateFormat=P","Fill=—","Direction=H","UseDPDF=Y")</f>
        <v>—</v>
      </c>
      <c r="K67" s="29" t="str">
        <f>_xll.BDH("ALGEV FP Equity","IS_PERSONNEL_EXP","FY 2019","FY 2019","Currency=EUR","Period=FY","BEST_FPERIOD_OVERRIDE=FY","FILING_STATUS=MR","SCALING_FORMAT=MLN","Sort=A","Dates=H","DateFormat=P","Fill=—","Direction=H","UseDPDF=Y")</f>
        <v>—</v>
      </c>
      <c r="L67" s="10"/>
    </row>
    <row r="68" spans="1:12" x14ac:dyDescent="0.25">
      <c r="A68" s="11" t="s">
        <v>317</v>
      </c>
      <c r="B68" s="11" t="s">
        <v>318</v>
      </c>
      <c r="C68" s="29">
        <f>_xll.BDH("ALGEV FP Equity","IS_DEPR_EXP","FY 2011","FY 2011","Currency=EUR","Period=FY","BEST_FPERIOD_OVERRIDE=FY","FILING_STATUS=MR","SCALING_FORMAT=MLN","Sort=A","Dates=H","DateFormat=P","Fill=—","Direction=H","UseDPDF=Y")</f>
        <v>8.2189999999999994</v>
      </c>
      <c r="D68" s="29">
        <f>_xll.BDH("ALGEV FP Equity","IS_DEPR_EXP","FY 2012","FY 2012","Currency=EUR","Period=FY","BEST_FPERIOD_OVERRIDE=FY","FILING_STATUS=MR","SCALING_FORMAT=MLN","Sort=A","Dates=H","DateFormat=P","Fill=—","Direction=H","UseDPDF=Y")</f>
        <v>8.58</v>
      </c>
      <c r="E68" s="29">
        <f>_xll.BDH("ALGEV FP Equity","IS_DEPR_EXP","FY 2013","FY 2013","Currency=EUR","Period=FY","BEST_FPERIOD_OVERRIDE=FY","FILING_STATUS=MR","SCALING_FORMAT=MLN","Sort=A","Dates=H","DateFormat=P","Fill=—","Direction=H","UseDPDF=Y")</f>
        <v>5.367</v>
      </c>
      <c r="F68" s="29">
        <f>_xll.BDH("ALGEV FP Equity","IS_DEPR_EXP","FY 2014","FY 2014","Currency=EUR","Period=FY","BEST_FPERIOD_OVERRIDE=FY","FILING_STATUS=MR","SCALING_FORMAT=MLN","Sort=A","Dates=H","DateFormat=P","Fill=—","Direction=H","UseDPDF=Y")</f>
        <v>5.32</v>
      </c>
      <c r="G68" s="29">
        <f>_xll.BDH("ALGEV FP Equity","IS_DEPR_EXP","FY 2015","FY 2015","Currency=EUR","Period=FY","BEST_FPERIOD_OVERRIDE=FY","FILING_STATUS=MR","SCALING_FORMAT=MLN","Sort=A","Dates=H","DateFormat=P","Fill=—","Direction=H","UseDPDF=Y")</f>
        <v>7.5750000000000002</v>
      </c>
      <c r="H68" s="29">
        <f>_xll.BDH("ALGEV FP Equity","IS_DEPR_EXP","FY 2016","FY 2016","Currency=EUR","Period=FY","BEST_FPERIOD_OVERRIDE=FY","FILING_STATUS=MR","SCALING_FORMAT=MLN","Sort=A","Dates=H","DateFormat=P","Fill=—","Direction=H","UseDPDF=Y")</f>
        <v>7.8529999999999998</v>
      </c>
      <c r="I68" s="29">
        <f>_xll.BDH("ALGEV FP Equity","IS_DEPR_EXP","FY 2017","FY 2017","Currency=EUR","Period=FY","BEST_FPERIOD_OVERRIDE=FY","FILING_STATUS=MR","SCALING_FORMAT=MLN","Sort=A","Dates=H","DateFormat=P","Fill=—","Direction=H","UseDPDF=Y")</f>
        <v>3.2640000000000002</v>
      </c>
      <c r="J68" s="29">
        <f>_xll.BDH("ALGEV FP Equity","IS_DEPR_EXP","FY 2018","FY 2018","Currency=EUR","Period=FY","BEST_FPERIOD_OVERRIDE=FY","FILING_STATUS=MR","SCALING_FORMAT=MLN","Sort=A","Dates=H","DateFormat=P","Fill=—","Direction=H","UseDPDF=Y")</f>
        <v>3.089</v>
      </c>
      <c r="K68" s="29">
        <f>_xll.BDH("ALGEV FP Equity","IS_DEPR_EXP","FY 2019","FY 2019","Currency=EUR","Period=FY","BEST_FPERIOD_OVERRIDE=FY","FILING_STATUS=MR","SCALING_FORMAT=MLN","Sort=A","Dates=H","DateFormat=P","Fill=—","Direction=H","UseDPDF=Y")</f>
        <v>4.8620000000000001</v>
      </c>
      <c r="L68" s="10">
        <v>5.1559999999999997</v>
      </c>
    </row>
    <row r="69" spans="1:12" x14ac:dyDescent="0.25">
      <c r="A69" s="23" t="s">
        <v>191</v>
      </c>
      <c r="B69" s="23"/>
      <c r="C69" s="23" t="s">
        <v>192</v>
      </c>
      <c r="D69" s="23"/>
      <c r="E69" s="23"/>
      <c r="F69" s="23"/>
      <c r="G69" s="23"/>
      <c r="H69" s="23"/>
      <c r="I69" s="23"/>
      <c r="J69" s="23"/>
      <c r="K69" s="23"/>
      <c r="L69" s="2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42"/>
  <sheetViews>
    <sheetView tabSelected="1" topLeftCell="A25" workbookViewId="0">
      <selection activeCell="L35" sqref="L35"/>
    </sheetView>
  </sheetViews>
  <sheetFormatPr baseColWidth="10" defaultRowHeight="15" x14ac:dyDescent="0.25"/>
  <cols>
    <col min="1" max="1" width="43.85546875" bestFit="1" customWidth="1"/>
    <col min="2" max="11" width="12.42578125" bestFit="1" customWidth="1"/>
    <col min="12" max="12" width="158.5703125" bestFit="1" customWidth="1"/>
  </cols>
  <sheetData>
    <row r="3" spans="1:12" ht="14.45" x14ac:dyDescent="0.35">
      <c r="A3" s="1"/>
      <c r="B3" s="34">
        <v>2010</v>
      </c>
      <c r="C3" s="34">
        <v>2011</v>
      </c>
      <c r="D3" s="34">
        <v>2012</v>
      </c>
      <c r="E3" s="34">
        <v>2013</v>
      </c>
      <c r="F3" s="34">
        <v>2014</v>
      </c>
      <c r="G3" s="34">
        <v>2015</v>
      </c>
      <c r="H3" s="34">
        <v>2016</v>
      </c>
      <c r="I3" s="34">
        <v>2017</v>
      </c>
      <c r="J3" s="34">
        <v>2018</v>
      </c>
      <c r="K3" s="34">
        <v>2019</v>
      </c>
      <c r="L3" s="36" t="s">
        <v>338</v>
      </c>
    </row>
    <row r="4" spans="1:12" ht="14.45" x14ac:dyDescent="0.35">
      <c r="A4" s="40" t="s">
        <v>193</v>
      </c>
      <c r="B4" s="43">
        <f>'Bilan - Standardisé'!C83*1000000</f>
        <v>942200</v>
      </c>
      <c r="C4" s="43">
        <f>'Bilan - Standardisé'!D83*1000000</f>
        <v>909700</v>
      </c>
      <c r="D4" s="43">
        <f>'Bilan - Standardisé'!E83*1000000</f>
        <v>909700</v>
      </c>
      <c r="E4" s="43">
        <f>'Bilan - Standardisé'!F83*1000000</f>
        <v>906000</v>
      </c>
      <c r="F4" s="43">
        <f>'Bilan - Standardisé'!G83*1000000</f>
        <v>909700</v>
      </c>
      <c r="G4" s="43">
        <f>'Bilan - Standardisé'!H83*1000000</f>
        <v>893200</v>
      </c>
      <c r="H4" s="43">
        <f>'Bilan - Standardisé'!I83*1000000</f>
        <v>820500</v>
      </c>
      <c r="I4" s="43">
        <f>'Bilan - Standardisé'!J83*1000000</f>
        <v>820500</v>
      </c>
      <c r="J4" s="43">
        <f>'Bilan - Standardisé'!K83*1000000</f>
        <v>769500</v>
      </c>
      <c r="K4" s="43">
        <f>'Bilan - Standardisé'!L83*1000000</f>
        <v>769500</v>
      </c>
    </row>
    <row r="5" spans="1:12" ht="14.45" x14ac:dyDescent="0.35">
      <c r="A5" s="40" t="s">
        <v>201</v>
      </c>
      <c r="B5" s="39">
        <f>'Bilan - Standardisé'!C13</f>
        <v>29.02</v>
      </c>
      <c r="C5" s="39">
        <f>'Bilan - Standardisé'!D13</f>
        <v>36.130000000000003</v>
      </c>
      <c r="D5" s="39">
        <f>'Bilan - Standardisé'!E13</f>
        <v>35.027999999999999</v>
      </c>
      <c r="E5" s="39">
        <f>'Bilan - Standardisé'!F13</f>
        <v>37.11</v>
      </c>
      <c r="F5" s="39">
        <f>'Bilan - Standardisé'!G13</f>
        <v>45.494999999999997</v>
      </c>
      <c r="G5" s="39">
        <f>'Bilan - Standardisé'!H13</f>
        <v>46.170999999999999</v>
      </c>
      <c r="H5" s="39">
        <f>'Bilan - Standardisé'!I13</f>
        <v>40.145000000000003</v>
      </c>
      <c r="I5" s="39">
        <f>'Bilan - Standardisé'!J13</f>
        <v>27.105</v>
      </c>
      <c r="J5" s="39">
        <f>'Bilan - Standardisé'!K13</f>
        <v>26.247</v>
      </c>
      <c r="K5" s="39">
        <f>'Bilan - Standardisé'!L13</f>
        <v>33.161999999999999</v>
      </c>
    </row>
    <row r="6" spans="1:12" x14ac:dyDescent="0.25">
      <c r="A6" s="41" t="s">
        <v>38</v>
      </c>
      <c r="B6" s="39">
        <f>'Bilan - Standardisé'!C14</f>
        <v>12.797000000000001</v>
      </c>
      <c r="C6" s="39">
        <f>'Bilan - Standardisé'!D14</f>
        <v>16.818000000000001</v>
      </c>
      <c r="D6" s="39">
        <f>'Bilan - Standardisé'!E14</f>
        <v>18.216000000000001</v>
      </c>
      <c r="E6" s="39">
        <f>'Bilan - Standardisé'!F14</f>
        <v>15.509</v>
      </c>
      <c r="F6" s="39">
        <f>'Bilan - Standardisé'!G14</f>
        <v>16.981000000000002</v>
      </c>
      <c r="G6" s="39">
        <f>'Bilan - Standardisé'!H14</f>
        <v>20.62</v>
      </c>
      <c r="H6" s="39">
        <f>'Bilan - Standardisé'!I14</f>
        <v>19.988</v>
      </c>
      <c r="I6" s="39">
        <f>'Bilan - Standardisé'!J14</f>
        <v>13.763999999999999</v>
      </c>
      <c r="J6" s="39">
        <f>'Bilan - Standardisé'!K14</f>
        <v>0</v>
      </c>
      <c r="K6" s="39">
        <f>'Bilan - Standardisé'!L14</f>
        <v>0</v>
      </c>
    </row>
    <row r="7" spans="1:12" ht="14.45" x14ac:dyDescent="0.35">
      <c r="A7" s="41" t="s">
        <v>40</v>
      </c>
      <c r="B7" s="39">
        <f>'Bilan - Standardisé'!C15</f>
        <v>5.6619999999999999</v>
      </c>
      <c r="C7" s="39">
        <f>'Bilan - Standardisé'!D15</f>
        <v>7.2370000000000001</v>
      </c>
      <c r="D7" s="39">
        <f>'Bilan - Standardisé'!E15</f>
        <v>7.016</v>
      </c>
      <c r="E7" s="39">
        <f>'Bilan - Standardisé'!F15</f>
        <v>7.8079999999999998</v>
      </c>
      <c r="F7" s="39">
        <f>'Bilan - Standardisé'!G15</f>
        <v>6.85</v>
      </c>
      <c r="G7" s="39">
        <f>'Bilan - Standardisé'!H15</f>
        <v>6.6710000000000003</v>
      </c>
      <c r="H7" s="39">
        <f>'Bilan - Standardisé'!I15</f>
        <v>5.5280000000000005</v>
      </c>
      <c r="I7" s="39">
        <f>'Bilan - Standardisé'!J15</f>
        <v>1.298</v>
      </c>
      <c r="J7" s="39">
        <f>'Bilan - Standardisé'!K15</f>
        <v>0</v>
      </c>
      <c r="K7" s="39">
        <f>'Bilan - Standardisé'!L15</f>
        <v>0</v>
      </c>
    </row>
    <row r="8" spans="1:12" ht="14.45" x14ac:dyDescent="0.35">
      <c r="A8" s="41" t="s">
        <v>42</v>
      </c>
      <c r="B8" s="39">
        <f>'Bilan - Standardisé'!C16</f>
        <v>10.561</v>
      </c>
      <c r="C8" s="39">
        <f>'Bilan - Standardisé'!D16</f>
        <v>12.074999999999999</v>
      </c>
      <c r="D8" s="39">
        <f>'Bilan - Standardisé'!E16</f>
        <v>13.593</v>
      </c>
      <c r="E8" s="39">
        <f>'Bilan - Standardisé'!F16</f>
        <v>1.865</v>
      </c>
      <c r="F8" s="39">
        <f>'Bilan - Standardisé'!G16</f>
        <v>10.11</v>
      </c>
      <c r="G8" s="39">
        <f>'Bilan - Standardisé'!H16</f>
        <v>7.9260000000000002</v>
      </c>
      <c r="H8" s="39">
        <f>'Bilan - Standardisé'!I16</f>
        <v>14.629</v>
      </c>
      <c r="I8" s="39">
        <f>'Bilan - Standardisé'!J16</f>
        <v>12.042999999999999</v>
      </c>
      <c r="J8" s="39">
        <f>'Bilan - Standardisé'!K16</f>
        <v>26.911000000000001</v>
      </c>
      <c r="K8" s="39">
        <f>'Bilan - Standardisé'!L16</f>
        <v>33.646000000000001</v>
      </c>
    </row>
    <row r="9" spans="1:12" ht="14.45" x14ac:dyDescent="0.35">
      <c r="A9" s="41" t="s">
        <v>44</v>
      </c>
      <c r="B9" s="44">
        <f>_xll.BDH("ALGEV FP Equity","BS_OTHER_INV","FY 2010","FY 2010","Currency=EUR","Period=FY","BEST_FPERIOD_OVERRIDE=FY","FILING_STATUS=MR","SCALING_FORMAT=MLN","Sort=A","Dates=H","DateFormat=P","Fill=—","Direction=H","UseDPDF=Y")</f>
        <v>0</v>
      </c>
      <c r="C9" s="44">
        <f>_xll.BDH("ALGEV FP Equity","BS_OTHER_INV","FY 2011","FY 2011","Currency=EUR","Period=FY","BEST_FPERIOD_OVERRIDE=FY","FILING_STATUS=MR","SCALING_FORMAT=MLN","Sort=A","Dates=H","DateFormat=P","Fill=—","Direction=H","UseDPDF=Y")</f>
        <v>0</v>
      </c>
      <c r="D9" s="44">
        <f>_xll.BDH("ALGEV FP Equity","BS_OTHER_INV","FY 2012","FY 2012","Currency=EUR","Period=FY","BEST_FPERIOD_OVERRIDE=FY","FILING_STATUS=MR","SCALING_FORMAT=MLN","Sort=A","Dates=H","DateFormat=P","Fill=—","Direction=H","UseDPDF=Y")</f>
        <v>-3.7970000000000002</v>
      </c>
      <c r="E9" s="44">
        <f>_xll.BDH("ALGEV FP Equity","BS_OTHER_INV","FY 2013","FY 2013","Currency=EUR","Period=FY","BEST_FPERIOD_OVERRIDE=FY","FILING_STATUS=MR","SCALING_FORMAT=MLN","Sort=A","Dates=H","DateFormat=P","Fill=—","Direction=H","UseDPDF=Y")</f>
        <v>11.928000000000001</v>
      </c>
      <c r="F9" s="44">
        <f>_xll.BDH("ALGEV FP Equity","BS_OTHER_INV","FY 2014","FY 2014","Currency=EUR","Period=FY","BEST_FPERIOD_OVERRIDE=FY","FILING_STATUS=MR","SCALING_FORMAT=MLN","Sort=A","Dates=H","DateFormat=P","Fill=—","Direction=H","UseDPDF=Y")</f>
        <v>11.554</v>
      </c>
      <c r="G9" s="44">
        <f>_xll.BDH("ALGEV FP Equity","BS_OTHER_INV","FY 2015","FY 2015","Currency=EUR","Period=FY","BEST_FPERIOD_OVERRIDE=FY","FILING_STATUS=MR","SCALING_FORMAT=MLN","Sort=A","Dates=H","DateFormat=P","Fill=—","Direction=H","UseDPDF=Y")</f>
        <v>10.954000000000001</v>
      </c>
      <c r="H9" s="44">
        <f>_xll.BDH("ALGEV FP Equity","BS_OTHER_INV","FY 2016","FY 2016","Currency=EUR","Period=FY","BEST_FPERIOD_OVERRIDE=FY","FILING_STATUS=MR","SCALING_FORMAT=MLN","Sort=A","Dates=H","DateFormat=P","Fill=—","Direction=H","UseDPDF=Y")</f>
        <v>0</v>
      </c>
      <c r="I9" s="44">
        <f>_xll.BDH("ALGEV FP Equity","BS_OTHER_INV","FY 2017","FY 2017","Currency=EUR","Period=FY","BEST_FPERIOD_OVERRIDE=FY","FILING_STATUS=MR","SCALING_FORMAT=MLN","Sort=A","Dates=H","DateFormat=P","Fill=—","Direction=H","UseDPDF=Y")</f>
        <v>0</v>
      </c>
      <c r="J9" s="44">
        <f>_xll.BDH("ALGEV FP Equity","BS_OTHER_INV","FY 2018","FY 2018","Currency=EUR","Period=FY","BEST_FPERIOD_OVERRIDE=FY","FILING_STATUS=MR","SCALING_FORMAT=MLN","Sort=A","Dates=H","DateFormat=P","Fill=—","Direction=H","UseDPDF=Y")</f>
        <v>-0.66400000000000003</v>
      </c>
      <c r="K9" s="44">
        <f>_xll.BDH("ALGEV FP Equity","BS_OTHER_INV","FY 2019","FY 2019","Currency=EUR","Period=FY","BEST_FPERIOD_OVERRIDE=FY","FILING_STATUS=MR","SCALING_FORMAT=MLN","Sort=A","Dates=H","DateFormat=P","Fill=—","Direction=H","UseDPDF=Y")</f>
        <v>-0.48399999999999999</v>
      </c>
    </row>
    <row r="10" spans="1:12" x14ac:dyDescent="0.25">
      <c r="A10" s="41" t="s">
        <v>202</v>
      </c>
      <c r="B10" s="39">
        <f>0.9*B6+0.5*B7+0.75*B8</f>
        <v>22.26905</v>
      </c>
      <c r="C10" s="39">
        <f t="shared" ref="C10:K10" si="0">0.9*C6+0.5*C7+0.75*C8</f>
        <v>27.810950000000002</v>
      </c>
      <c r="D10" s="39">
        <f t="shared" si="0"/>
        <v>30.097149999999999</v>
      </c>
      <c r="E10" s="39">
        <f t="shared" si="0"/>
        <v>19.260849999999998</v>
      </c>
      <c r="F10" s="39">
        <f t="shared" si="0"/>
        <v>26.290400000000002</v>
      </c>
      <c r="G10" s="39">
        <f t="shared" si="0"/>
        <v>27.838000000000001</v>
      </c>
      <c r="H10" s="39">
        <f t="shared" si="0"/>
        <v>31.72495</v>
      </c>
      <c r="I10" s="39">
        <f t="shared" si="0"/>
        <v>22.068849999999998</v>
      </c>
      <c r="J10" s="39">
        <f t="shared" si="0"/>
        <v>20.183250000000001</v>
      </c>
      <c r="K10" s="39">
        <f t="shared" si="0"/>
        <v>25.234500000000001</v>
      </c>
      <c r="L10" t="s">
        <v>339</v>
      </c>
    </row>
    <row r="11" spans="1:12" ht="14.45" x14ac:dyDescent="0.35">
      <c r="A11" s="41" t="s">
        <v>203</v>
      </c>
      <c r="B11" s="45">
        <f t="shared" ref="B11:K11" si="1">B10*1000000/B4</f>
        <v>23.635162385905328</v>
      </c>
      <c r="C11" s="45">
        <f t="shared" si="1"/>
        <v>30.571562053424206</v>
      </c>
      <c r="D11" s="45">
        <f t="shared" si="1"/>
        <v>33.084698252171044</v>
      </c>
      <c r="E11" s="45">
        <f t="shared" si="1"/>
        <v>21.259216335540835</v>
      </c>
      <c r="F11" s="45">
        <f t="shared" si="1"/>
        <v>28.900076948444543</v>
      </c>
      <c r="G11" s="45">
        <f t="shared" si="1"/>
        <v>31.166592028660993</v>
      </c>
      <c r="H11" s="45">
        <f t="shared" si="1"/>
        <v>38.665386959171236</v>
      </c>
      <c r="I11" s="45">
        <f t="shared" si="1"/>
        <v>26.896831200487505</v>
      </c>
      <c r="J11" s="45">
        <f t="shared" si="1"/>
        <v>26.229044834307992</v>
      </c>
      <c r="K11" s="45">
        <f t="shared" si="1"/>
        <v>32.79337231968811</v>
      </c>
    </row>
    <row r="12" spans="1:12" ht="30" x14ac:dyDescent="0.25">
      <c r="A12" s="40" t="s">
        <v>194</v>
      </c>
      <c r="B12" s="39">
        <f>'Bilan - Standardisé'!C25-'Bilan - Standardisé'!C57</f>
        <v>49.198000000000008</v>
      </c>
      <c r="C12" s="39">
        <f>'Bilan - Standardisé'!D25-'Bilan - Standardisé'!D57</f>
        <v>56.506999999999998</v>
      </c>
      <c r="D12" s="39">
        <f>'Bilan - Standardisé'!E25-'Bilan - Standardisé'!E57</f>
        <v>62.943000000000005</v>
      </c>
      <c r="E12" s="39">
        <f>'Bilan - Standardisé'!F25-'Bilan - Standardisé'!F57</f>
        <v>85.160999999999987</v>
      </c>
      <c r="F12" s="39">
        <f>'Bilan - Standardisé'!G25-'Bilan - Standardisé'!G57</f>
        <v>140.95000000000002</v>
      </c>
      <c r="G12" s="39">
        <f>'Bilan - Standardisé'!H25-'Bilan - Standardisé'!H57</f>
        <v>128.15100000000001</v>
      </c>
      <c r="H12" s="39">
        <f>'Bilan - Standardisé'!I25-'Bilan - Standardisé'!I57</f>
        <v>148.39999999999998</v>
      </c>
      <c r="I12" s="39">
        <f>'Bilan - Standardisé'!J25-'Bilan - Standardisé'!J57</f>
        <v>174.62200000000001</v>
      </c>
      <c r="J12" s="39">
        <f>'Bilan - Standardisé'!K25-'Bilan - Standardisé'!K57</f>
        <v>167.292</v>
      </c>
      <c r="K12" s="39">
        <f>'Bilan - Standardisé'!L25-'Bilan - Standardisé'!L57</f>
        <v>164.29300000000001</v>
      </c>
      <c r="L12" s="38" t="s">
        <v>345</v>
      </c>
    </row>
    <row r="13" spans="1:12" x14ac:dyDescent="0.25">
      <c r="A13" s="40" t="s">
        <v>196</v>
      </c>
      <c r="B13" s="45">
        <f>B12*1000000/B4</f>
        <v>52.216090002122698</v>
      </c>
      <c r="C13" s="45">
        <f t="shared" ref="C13:K13" si="2">C12*1000000/C4</f>
        <v>62.116082224909313</v>
      </c>
      <c r="D13" s="45">
        <f t="shared" si="2"/>
        <v>69.190942068813897</v>
      </c>
      <c r="E13" s="45">
        <f t="shared" si="2"/>
        <v>93.99668874172184</v>
      </c>
      <c r="F13" s="45">
        <f t="shared" si="2"/>
        <v>154.94118940309997</v>
      </c>
      <c r="G13" s="45">
        <f t="shared" si="2"/>
        <v>143.47402597402598</v>
      </c>
      <c r="H13" s="45">
        <f t="shared" si="2"/>
        <v>180.86532602071904</v>
      </c>
      <c r="I13" s="45">
        <f t="shared" si="2"/>
        <v>212.82388787324803</v>
      </c>
      <c r="J13" s="45">
        <f t="shared" si="2"/>
        <v>217.40350877192984</v>
      </c>
      <c r="K13" s="45">
        <f t="shared" si="2"/>
        <v>213.50617283950618</v>
      </c>
      <c r="L13" s="37" t="s">
        <v>340</v>
      </c>
    </row>
    <row r="14" spans="1:12" ht="14.45" x14ac:dyDescent="0.35">
      <c r="A14" s="40" t="s">
        <v>195</v>
      </c>
      <c r="B14" s="39">
        <f>B12-'Bilan - Standardisé'!C69</f>
        <v>24.791000000000007</v>
      </c>
      <c r="C14" s="39">
        <f>C12-'Bilan - Standardisé'!D69</f>
        <v>34.518000000000001</v>
      </c>
      <c r="D14" s="39">
        <f>D12-'Bilan - Standardisé'!E69</f>
        <v>47.547000000000004</v>
      </c>
      <c r="E14" s="39">
        <f>E12-'Bilan - Standardisé'!F69</f>
        <v>61.504999999999988</v>
      </c>
      <c r="F14" s="39">
        <f>F12-'Bilan - Standardisé'!G69</f>
        <v>113.06300000000002</v>
      </c>
      <c r="G14" s="39">
        <f>G12-'Bilan - Standardisé'!H69</f>
        <v>99.833000000000013</v>
      </c>
      <c r="H14" s="39">
        <f>H12-'Bilan - Standardisé'!I69</f>
        <v>116.42599999999997</v>
      </c>
      <c r="I14" s="39">
        <f>I12-'Bilan - Standardisé'!J69</f>
        <v>160.226</v>
      </c>
      <c r="J14" s="39">
        <f>J12-'Bilan - Standardisé'!K69</f>
        <v>155.68899999999999</v>
      </c>
      <c r="K14" s="39">
        <f>K12-'Bilan - Standardisé'!L69</f>
        <v>146.36199999999999</v>
      </c>
      <c r="L14" t="s">
        <v>341</v>
      </c>
    </row>
    <row r="15" spans="1:12" ht="14.45" x14ac:dyDescent="0.35">
      <c r="A15" s="40" t="s">
        <v>197</v>
      </c>
      <c r="B15" s="45">
        <f>B14*1000000/B4</f>
        <v>26.311823392061143</v>
      </c>
      <c r="C15" s="45">
        <f t="shared" ref="C15:K15" si="3">C14*1000000/C4</f>
        <v>37.944377267230955</v>
      </c>
      <c r="D15" s="45">
        <f t="shared" si="3"/>
        <v>52.266681323513254</v>
      </c>
      <c r="E15" s="45">
        <f t="shared" si="3"/>
        <v>67.886313465783644</v>
      </c>
      <c r="F15" s="45">
        <f t="shared" si="3"/>
        <v>124.28602836099815</v>
      </c>
      <c r="G15" s="45">
        <f t="shared" si="3"/>
        <v>111.77004030452308</v>
      </c>
      <c r="H15" s="45">
        <f t="shared" si="3"/>
        <v>141.89640463132233</v>
      </c>
      <c r="I15" s="45">
        <f t="shared" si="3"/>
        <v>195.27848872638634</v>
      </c>
      <c r="J15" s="45">
        <f t="shared" si="3"/>
        <v>202.32488628979857</v>
      </c>
      <c r="K15" s="45">
        <f t="shared" si="3"/>
        <v>190.2040285899935</v>
      </c>
      <c r="L15" s="37" t="s">
        <v>342</v>
      </c>
    </row>
    <row r="16" spans="1:12" ht="14.45" x14ac:dyDescent="0.35">
      <c r="A16" s="40" t="s">
        <v>337</v>
      </c>
      <c r="B16" s="45">
        <f>'Bilan - Standardisé'!C7+'Bilan - Standardisé'!C10-Feuil1!B10-'Bilan - Standardisé'!C57</f>
        <v>-6.6760499999999965</v>
      </c>
      <c r="C16" s="45">
        <f>'Bilan - Standardisé'!D7+'Bilan - Standardisé'!D10-Feuil1!C10-'Bilan - Standardisé'!D57</f>
        <v>-17.016950000000001</v>
      </c>
      <c r="D16" s="45">
        <f>'Bilan - Standardisé'!E7+'Bilan - Standardisé'!E10-Feuil1!D10-'Bilan - Standardisé'!E57</f>
        <v>-13.882150000000003</v>
      </c>
      <c r="E16" s="45">
        <f>'Bilan - Standardisé'!F7+'Bilan - Standardisé'!F10-Feuil1!E10-'Bilan - Standardisé'!F57</f>
        <v>5.8221499999999793</v>
      </c>
      <c r="F16" s="45">
        <f>'Bilan - Standardisé'!G7+'Bilan - Standardisé'!G10-Feuil1!F10-'Bilan - Standardisé'!G57</f>
        <v>49.836600000000004</v>
      </c>
      <c r="G16" s="45">
        <f>'Bilan - Standardisé'!H7+'Bilan - Standardisé'!H10-Feuil1!G10-'Bilan - Standardisé'!H57</f>
        <v>14.793999999999997</v>
      </c>
      <c r="H16" s="45">
        <f>'Bilan - Standardisé'!I7+'Bilan - Standardisé'!I10-Feuil1!H10-'Bilan - Standardisé'!I57</f>
        <v>29.096049999999991</v>
      </c>
      <c r="I16" s="45">
        <f>'Bilan - Standardisé'!J7+'Bilan - Standardisé'!J10-Feuil1!I10-'Bilan - Standardisé'!J57</f>
        <v>52.993150000000014</v>
      </c>
      <c r="J16" s="45">
        <f>'Bilan - Standardisé'!K7+'Bilan - Standardisé'!K10-Feuil1!J10-'Bilan - Standardisé'!K57</f>
        <v>115.89475000000002</v>
      </c>
      <c r="K16" s="45">
        <f>'Bilan - Standardisé'!L7+'Bilan - Standardisé'!L10-Feuil1!K10-'Bilan - Standardisé'!L57</f>
        <v>102.1785</v>
      </c>
      <c r="L16" s="37" t="s">
        <v>342</v>
      </c>
    </row>
    <row r="17" spans="1:12" x14ac:dyDescent="0.25">
      <c r="A17" s="40" t="s">
        <v>198</v>
      </c>
      <c r="B17" s="39">
        <f>'Bilan - Standardisé'!C7-'Bilan - Standardisé'!C48-'Bilan - Standardisé'!C58</f>
        <v>17.240000000000002</v>
      </c>
      <c r="C17" s="39">
        <f>'Bilan - Standardisé'!D7-'Bilan - Standardisé'!D48-'Bilan - Standardisé'!D58</f>
        <v>1.745000000000001</v>
      </c>
      <c r="D17" s="39">
        <f>'Bilan - Standardisé'!E7-'Bilan - Standardisé'!E48-'Bilan - Standardisé'!E58</f>
        <v>11.060999999999996</v>
      </c>
      <c r="E17" s="39">
        <f>'Bilan - Standardisé'!F7-'Bilan - Standardisé'!F48-'Bilan - Standardisé'!F58</f>
        <v>15.851999999999999</v>
      </c>
      <c r="F17" s="39">
        <f>'Bilan - Standardisé'!G7-'Bilan - Standardisé'!G48-'Bilan - Standardisé'!G58</f>
        <v>97.742000000000019</v>
      </c>
      <c r="G17" s="39">
        <f>'Bilan - Standardisé'!H7-'Bilan - Standardisé'!H48-'Bilan - Standardisé'!H58</f>
        <v>63.881</v>
      </c>
      <c r="H17" s="39">
        <f>'Bilan - Standardisé'!I7-'Bilan - Standardisé'!I48-'Bilan - Standardisé'!I58</f>
        <v>66.942000000000007</v>
      </c>
      <c r="I17" s="39">
        <f>'Bilan - Standardisé'!J7-'Bilan - Standardisé'!J48-'Bilan - Standardisé'!J58</f>
        <v>94.213999999999999</v>
      </c>
      <c r="J17" s="39">
        <f>'Bilan - Standardisé'!K7-'Bilan - Standardisé'!K48-'Bilan - Standardisé'!K58</f>
        <v>164.03700000000001</v>
      </c>
      <c r="K17" s="39">
        <f>'Bilan - Standardisé'!L7-'Bilan - Standardisé'!L48-'Bilan - Standardisé'!L58</f>
        <v>148.34299999999999</v>
      </c>
      <c r="L17" s="55" t="s">
        <v>346</v>
      </c>
    </row>
    <row r="18" spans="1:12" x14ac:dyDescent="0.25">
      <c r="A18" s="40" t="s">
        <v>199</v>
      </c>
      <c r="B18" s="45">
        <f>B17*1000000/B4</f>
        <v>18.297601358522609</v>
      </c>
      <c r="C18" s="45" t="s">
        <v>356</v>
      </c>
      <c r="D18" s="45">
        <f t="shared" ref="D18:K18" si="4">D17*1000000/D4</f>
        <v>12.158953501154222</v>
      </c>
      <c r="E18" s="45">
        <f t="shared" si="4"/>
        <v>17.496688741721851</v>
      </c>
      <c r="F18" s="45">
        <f t="shared" si="4"/>
        <v>107.44421237770695</v>
      </c>
      <c r="G18" s="45">
        <f t="shared" si="4"/>
        <v>71.519256605463497</v>
      </c>
      <c r="H18" s="45">
        <f t="shared" si="4"/>
        <v>81.586837294332739</v>
      </c>
      <c r="I18" s="45">
        <f t="shared" si="4"/>
        <v>114.82510664229129</v>
      </c>
      <c r="J18" s="45">
        <f t="shared" si="4"/>
        <v>213.17348927875244</v>
      </c>
      <c r="K18" s="45">
        <f t="shared" si="4"/>
        <v>192.77842755035738</v>
      </c>
      <c r="L18" s="37" t="s">
        <v>347</v>
      </c>
    </row>
    <row r="19" spans="1:12" ht="30" x14ac:dyDescent="0.25">
      <c r="A19" s="40" t="s">
        <v>200</v>
      </c>
      <c r="B19" s="35">
        <f>('Bilan - Standardisé'!C58+'Bilan - Standardisé'!C48-'Bilan - Standardisé'!C7)/'Bilan - Standardisé'!C76</f>
        <v>-0.13360301924224463</v>
      </c>
      <c r="C19" s="35">
        <f>('Bilan - Standardisé'!D58+'Bilan - Standardisé'!D48-'Bilan - Standardisé'!D7)/'Bilan - Standardisé'!D76</f>
        <v>-1.2393818006193366E-2</v>
      </c>
      <c r="D19" s="35">
        <f>('Bilan - Standardisé'!E58+'Bilan - Standardisé'!E48-'Bilan - Standardisé'!E7)/'Bilan - Standardisé'!E76</f>
        <v>-8.4322469982847328E-2</v>
      </c>
      <c r="E19" s="35">
        <f>('Bilan - Standardisé'!F58+'Bilan - Standardisé'!F48-'Bilan - Standardisé'!F7)/'Bilan - Standardisé'!F76</f>
        <v>-0.11912437721216491</v>
      </c>
      <c r="F19" s="35">
        <f>('Bilan - Standardisé'!G58+'Bilan - Standardisé'!G48-'Bilan - Standardisé'!G7)/'Bilan - Standardisé'!G76</f>
        <v>-0.4930314203998043</v>
      </c>
      <c r="G19" s="35">
        <f>('Bilan - Standardisé'!H58+'Bilan - Standardisé'!H48-'Bilan - Standardisé'!H7)/'Bilan - Standardisé'!H76</f>
        <v>-0.34461719390617584</v>
      </c>
      <c r="H19" s="35">
        <f>('Bilan - Standardisé'!I58+'Bilan - Standardisé'!I48-'Bilan - Standardisé'!I7)/'Bilan - Standardisé'!I76</f>
        <v>-0.33906185895974844</v>
      </c>
      <c r="I19" s="35">
        <f>('Bilan - Standardisé'!J58+'Bilan - Standardisé'!J48-'Bilan - Standardisé'!J7)/'Bilan - Standardisé'!J76</f>
        <v>-0.48316854024780503</v>
      </c>
      <c r="J19" s="35">
        <f>('Bilan - Standardisé'!K58+'Bilan - Standardisé'!K48-'Bilan - Standardisé'!K7)/'Bilan - Standardisé'!K76</f>
        <v>-0.86526532334634454</v>
      </c>
      <c r="K19" s="35">
        <f>('Bilan - Standardisé'!L58+'Bilan - Standardisé'!L48-'Bilan - Standardisé'!L7)/'Bilan - Standardisé'!L76</f>
        <v>-0.75203670375909348</v>
      </c>
      <c r="L19" s="54" t="s">
        <v>348</v>
      </c>
    </row>
    <row r="20" spans="1:12" ht="30" x14ac:dyDescent="0.25">
      <c r="A20" s="40" t="s">
        <v>349</v>
      </c>
      <c r="B20" s="35">
        <f>'Bilan - Standardisé'!C78/('Bilan - Standardisé'!C79-'Bilan - Standardisé'!C7)</f>
        <v>0.75022813268313104</v>
      </c>
      <c r="C20" s="35">
        <f>'Bilan - Standardisé'!D78/('Bilan - Standardisé'!D79-'Bilan - Standardisé'!D7)</f>
        <v>0.69616323786738898</v>
      </c>
      <c r="D20" s="35">
        <f>'Bilan - Standardisé'!E78/('Bilan - Standardisé'!E79-'Bilan - Standardisé'!E7)</f>
        <v>0.75888612573014858</v>
      </c>
      <c r="E20" s="35">
        <f>'Bilan - Standardisé'!F78/('Bilan - Standardisé'!F79-'Bilan - Standardisé'!F7)</f>
        <v>0.75923824081309066</v>
      </c>
      <c r="F20" s="35">
        <f>'Bilan - Standardisé'!G78/('Bilan - Standardisé'!G79-'Bilan - Standardisé'!G7)</f>
        <v>1.0148009552929007</v>
      </c>
      <c r="G20" s="35">
        <f>'Bilan - Standardisé'!H78/('Bilan - Standardisé'!H79-'Bilan - Standardisé'!H7)</f>
        <v>0.84510888084215108</v>
      </c>
      <c r="H20" s="35">
        <f>'Bilan - Standardisé'!I78/('Bilan - Standardisé'!I79-'Bilan - Standardisé'!I7)</f>
        <v>0.81423680619673655</v>
      </c>
      <c r="I20" s="35">
        <f>'Bilan - Standardisé'!J78/('Bilan - Standardisé'!J79-'Bilan - Standardisé'!J7)</f>
        <v>1.071369908462463</v>
      </c>
      <c r="J20" s="35">
        <f>'Bilan - Standardisé'!K78/('Bilan - Standardisé'!K79-'Bilan - Standardisé'!K7)</f>
        <v>1.808600122589467</v>
      </c>
      <c r="K20" s="35">
        <f>'Bilan - Standardisé'!L78/('Bilan - Standardisé'!L79-'Bilan - Standardisé'!L7)</f>
        <v>1.4687668182924039</v>
      </c>
      <c r="L20" s="54" t="s">
        <v>350</v>
      </c>
    </row>
    <row r="21" spans="1:12" x14ac:dyDescent="0.25">
      <c r="A21" s="41" t="s">
        <v>204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1:12" ht="14.45" x14ac:dyDescent="0.35">
      <c r="A22" s="41" t="s">
        <v>205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</row>
    <row r="23" spans="1:12" ht="14.45" x14ac:dyDescent="0.35">
      <c r="A23" s="41" t="s">
        <v>206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</row>
    <row r="24" spans="1:12" x14ac:dyDescent="0.25">
      <c r="A24" s="41" t="s">
        <v>207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</row>
    <row r="25" spans="1:12" x14ac:dyDescent="0.25">
      <c r="A25" s="41" t="s">
        <v>319</v>
      </c>
      <c r="B25" s="39"/>
      <c r="C25" s="39"/>
      <c r="D25" s="39"/>
      <c r="E25" s="39"/>
      <c r="F25" s="39"/>
      <c r="G25" s="39"/>
      <c r="H25" s="39"/>
      <c r="I25" s="39"/>
      <c r="J25" s="39"/>
      <c r="K25" s="39"/>
    </row>
    <row r="26" spans="1:12" x14ac:dyDescent="0.25">
      <c r="A26" s="41" t="s">
        <v>320</v>
      </c>
      <c r="B26" s="46">
        <f>('Bilan - Standardisé'!C33+'Bilan - Standardisé'!C34+'Bilan - Standardisé'!C35+'Bilan - Standardisé'!C36)/'Bilan - Standardisé'!C41</f>
        <v>5.4290440912033375E-2</v>
      </c>
      <c r="C26" s="46">
        <f>('Bilan - Standardisé'!D33+'Bilan - Standardisé'!D34+'Bilan - Standardisé'!D35+'Bilan - Standardisé'!D36)/'Bilan - Standardisé'!D41</f>
        <v>5.6048550476198958E-2</v>
      </c>
      <c r="D26" s="46">
        <f>('Bilan - Standardisé'!E33+'Bilan - Standardisé'!E34+'Bilan - Standardisé'!E35+'Bilan - Standardisé'!E36)/'Bilan - Standardisé'!E41</f>
        <v>0.11253280192569501</v>
      </c>
      <c r="E26" s="46">
        <f>('Bilan - Standardisé'!F33+'Bilan - Standardisé'!F34+'Bilan - Standardisé'!F35+'Bilan - Standardisé'!F36)/'Bilan - Standardisé'!F41</f>
        <v>5.1971093319474373E-2</v>
      </c>
      <c r="F26" s="46">
        <f>('Bilan - Standardisé'!G33+'Bilan - Standardisé'!G34+'Bilan - Standardisé'!G35+'Bilan - Standardisé'!G36)/'Bilan - Standardisé'!G41</f>
        <v>5.7588724770884038E-2</v>
      </c>
      <c r="G26" s="46">
        <f>('Bilan - Standardisé'!H33+'Bilan - Standardisé'!H34+'Bilan - Standardisé'!H35+'Bilan - Standardisé'!H36)/'Bilan - Standardisé'!H41</f>
        <v>3.3476334048850191E-2</v>
      </c>
      <c r="H26" s="46">
        <f>('Bilan - Standardisé'!I33+'Bilan - Standardisé'!I34+'Bilan - Standardisé'!I35+'Bilan - Standardisé'!I36)/'Bilan - Standardisé'!I41</f>
        <v>4.1726602343603411E-2</v>
      </c>
      <c r="I26" s="46">
        <f>('Bilan - Standardisé'!J33+'Bilan - Standardisé'!J34+'Bilan - Standardisé'!J35+'Bilan - Standardisé'!J36)/'Bilan - Standardisé'!J41</f>
        <v>2.1627584879592814E-2</v>
      </c>
      <c r="J26" s="46">
        <f>('Bilan - Standardisé'!K33+'Bilan - Standardisé'!K34+'Bilan - Standardisé'!K35+'Bilan - Standardisé'!K36)/'Bilan - Standardisé'!K41</f>
        <v>2.1105273288515965E-2</v>
      </c>
      <c r="K26" s="46">
        <f>('Bilan - Standardisé'!L33+'Bilan - Standardisé'!L34+'Bilan - Standardisé'!L35+'Bilan - Standardisé'!L36)/'Bilan - Standardisé'!L41</f>
        <v>7.9006772009029322E-2</v>
      </c>
      <c r="L26" s="37" t="s">
        <v>351</v>
      </c>
    </row>
    <row r="27" spans="1:12" ht="14.45" x14ac:dyDescent="0.35">
      <c r="A27" s="41" t="s">
        <v>321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</row>
    <row r="28" spans="1:12" ht="30" x14ac:dyDescent="0.25">
      <c r="A28" s="41" t="s">
        <v>322</v>
      </c>
      <c r="B28" s="47">
        <f>'Bilan - Standardisé'!C78*1000000/Feuil1!B4</f>
        <v>136.99426873275314</v>
      </c>
      <c r="C28" s="47">
        <f>'Bilan - Standardisé'!D78*1000000/Feuil1!C4</f>
        <v>154.81807189183246</v>
      </c>
      <c r="D28" s="47">
        <f>'Bilan - Standardisé'!E78*1000000/Feuil1!D4</f>
        <v>144.24425634824667</v>
      </c>
      <c r="E28" s="47">
        <f>'Bilan - Standardisé'!F78*1000000/Feuil1!E4</f>
        <v>146.92935982339955</v>
      </c>
      <c r="F28" s="47">
        <f>'Bilan - Standardisé'!G78*1000000/Feuil1!F4</f>
        <v>220.00219852698692</v>
      </c>
      <c r="G28" s="47">
        <f>'Bilan - Standardisé'!H78*1000000/Feuil1!G4</f>
        <v>208.25235109717869</v>
      </c>
      <c r="H28" s="47">
        <f>'Bilan - Standardisé'!I78*1000000/Feuil1!H4</f>
        <v>242.90554539914686</v>
      </c>
      <c r="I28" s="47">
        <f>'Bilan - Standardisé'!J78*1000000/Feuil1!I4</f>
        <v>240.07434491163926</v>
      </c>
      <c r="J28" s="47">
        <f>'Bilan - Standardisé'!K78*1000000/Feuil1!J4</f>
        <v>249.24366471734893</v>
      </c>
      <c r="K28" s="47">
        <f>'Bilan - Standardisé'!L78*1000000/Feuil1!K4</f>
        <v>258.90188434048082</v>
      </c>
      <c r="L28" s="54" t="s">
        <v>352</v>
      </c>
    </row>
    <row r="29" spans="1:12" x14ac:dyDescent="0.25">
      <c r="A29" s="41" t="s">
        <v>323</v>
      </c>
      <c r="B29" s="39"/>
      <c r="C29" s="48">
        <f>'compte de résultat'!C65</f>
        <v>1.8</v>
      </c>
      <c r="D29" s="48">
        <f>'compte de résultat'!D65</f>
        <v>1.8</v>
      </c>
      <c r="E29" s="48">
        <f>'compte de résultat'!E65</f>
        <v>1.8</v>
      </c>
      <c r="F29" s="48">
        <f>'compte de résultat'!F65</f>
        <v>1.8</v>
      </c>
      <c r="G29" s="48">
        <f>'compte de résultat'!G65</f>
        <v>1.8</v>
      </c>
      <c r="H29" s="48">
        <f>'compte de résultat'!H65</f>
        <v>1.8</v>
      </c>
      <c r="I29" s="48">
        <f>'compte de résultat'!I65</f>
        <v>1.8</v>
      </c>
      <c r="J29" s="48">
        <f>'compte de résultat'!J65</f>
        <v>1.8</v>
      </c>
      <c r="K29" s="48">
        <f>'compte de résultat'!K65</f>
        <v>1.8</v>
      </c>
      <c r="L29" s="56" t="s">
        <v>351</v>
      </c>
    </row>
    <row r="30" spans="1:12" x14ac:dyDescent="0.25">
      <c r="A30" s="41" t="s">
        <v>324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</row>
    <row r="31" spans="1:12" ht="45" x14ac:dyDescent="0.25">
      <c r="A31" s="41" t="s">
        <v>343</v>
      </c>
      <c r="B31" s="47">
        <f>('Bilan - Standardisé'!C7+'Bilan - Standardisé'!C76-'Bilan - Standardisé'!C33-'Bilan - Standardisé'!C34-'Bilan - Standardisé'!C35)*1000000/B4</f>
        <v>163.67331776692848</v>
      </c>
      <c r="C31" s="47">
        <f>('Bilan - Standardisé'!D7+'Bilan - Standardisé'!D76-'Bilan - Standardisé'!D33-'Bilan - Standardisé'!D34-'Bilan - Standardisé'!D35)*1000000/C4</f>
        <v>165.4314609211828</v>
      </c>
      <c r="D31" s="47">
        <f>('Bilan - Standardisé'!E7+'Bilan - Standardisé'!E76-'Bilan - Standardisé'!E33-'Bilan - Standardisé'!E34-'Bilan - Standardisé'!E35)*1000000/D4</f>
        <v>151.8995273166978</v>
      </c>
      <c r="E31" s="47">
        <f>('Bilan - Standardisé'!F7+'Bilan - Standardisé'!F76-'Bilan - Standardisé'!F33-'Bilan - Standardisé'!F34-'Bilan - Standardisé'!F35)*1000000/E4</f>
        <v>186.91059602649003</v>
      </c>
      <c r="F31" s="47">
        <f>('Bilan - Standardisé'!G7+'Bilan - Standardisé'!G76-'Bilan - Standardisé'!G33-'Bilan - Standardisé'!G34-'Bilan - Standardisé'!G35)*1000000/F4</f>
        <v>354.83016379026054</v>
      </c>
      <c r="G31" s="47">
        <f>('Bilan - Standardisé'!H7+'Bilan - Standardisé'!H76-'Bilan - Standardisé'!H33-'Bilan - Standardisé'!H34-'Bilan - Standardisé'!H35)*1000000/G4</f>
        <v>312.474249888043</v>
      </c>
      <c r="H31" s="47">
        <f>('Bilan - Standardisé'!I7+'Bilan - Standardisé'!I76-'Bilan - Standardisé'!I33-'Bilan - Standardisé'!I34-'Bilan - Standardisé'!I35)*1000000/H4</f>
        <v>355.57708714198668</v>
      </c>
      <c r="I31" s="47">
        <f>('Bilan - Standardisé'!J7+'Bilan - Standardisé'!J76-'Bilan - Standardisé'!J33-'Bilan - Standardisé'!J34-'Bilan - Standardisé'!J35)*1000000/I4</f>
        <v>360.74588665447891</v>
      </c>
      <c r="J31" s="47">
        <f>('Bilan - Standardisé'!K7+'Bilan - Standardisé'!K76-'Bilan - Standardisé'!K33-'Bilan - Standardisé'!K34-'Bilan - Standardisé'!K35)*1000000/J4</f>
        <v>465.63872644574388</v>
      </c>
      <c r="K31" s="47">
        <f>('Bilan - Standardisé'!L7+'Bilan - Standardisé'!L76-'Bilan - Standardisé'!L33-'Bilan - Standardisé'!L34-'Bilan - Standardisé'!L35)*1000000/K4</f>
        <v>435.15659519168281</v>
      </c>
      <c r="L31" s="54" t="s">
        <v>344</v>
      </c>
    </row>
    <row r="32" spans="1:12" x14ac:dyDescent="0.25">
      <c r="A32" s="41" t="s">
        <v>325</v>
      </c>
      <c r="B32">
        <f>'Bilan - Standardisé'!C7+'Bilan - Standardisé'!C18+Feuil1!B10-'Bilan - Standardisé'!C57-'Bilan - Standardisé'!C69-'Bilan - Standardisé'!C77</f>
        <v>-16.155949999999994</v>
      </c>
      <c r="C32">
        <f>'Bilan - Standardisé'!D7+'Bilan - Standardisé'!D18+Feuil1!C10-'Bilan - Standardisé'!D57-'Bilan - Standardisé'!D69-'Bilan - Standardisé'!D77</f>
        <v>-24.116050000000005</v>
      </c>
      <c r="D32">
        <f>'Bilan - Standardisé'!E7+'Bilan - Standardisé'!E18+Feuil1!D10-'Bilan - Standardisé'!E57-'Bilan - Standardisé'!E69-'Bilan - Standardisé'!E77</f>
        <v>6.214999999999242E-2</v>
      </c>
      <c r="E32">
        <f>'Bilan - Standardisé'!F7+'Bilan - Standardisé'!F18+Feuil1!E10-'Bilan - Standardisé'!F57-'Bilan - Standardisé'!F69-'Bilan - Standardisé'!F77</f>
        <v>-3.1150000000006742E-2</v>
      </c>
      <c r="F32">
        <f>'Bilan - Standardisé'!G7+'Bilan - Standardisé'!G18+Feuil1!F10-'Bilan - Standardisé'!G57-'Bilan - Standardisé'!G69-'Bilan - Standardisé'!G77</f>
        <v>46.648400000000017</v>
      </c>
      <c r="G32">
        <f>'Bilan - Standardisé'!H7+'Bilan - Standardisé'!H18+Feuil1!G10-'Bilan - Standardisé'!H57-'Bilan - Standardisé'!H69-'Bilan - Standardisé'!H77</f>
        <v>32.450999999999993</v>
      </c>
      <c r="H32">
        <f>'Bilan - Standardisé'!I7+'Bilan - Standardisé'!I18+Feuil1!H10-'Bilan - Standardisé'!I57-'Bilan - Standardisé'!I69-'Bilan - Standardisé'!I77</f>
        <v>31.817949999999993</v>
      </c>
      <c r="I32">
        <f>'Bilan - Standardisé'!J7+'Bilan - Standardisé'!J18+Feuil1!I10-'Bilan - Standardisé'!J57-'Bilan - Standardisé'!J69-'Bilan - Standardisé'!J77</f>
        <v>105.65685000000001</v>
      </c>
      <c r="J32">
        <f>'Bilan - Standardisé'!K7+'Bilan - Standardisé'!K18+Feuil1!J10-'Bilan - Standardisé'!K57-'Bilan - Standardisé'!K69-'Bilan - Standardisé'!K77</f>
        <v>108.68525000000001</v>
      </c>
      <c r="K32">
        <f>'Bilan - Standardisé'!L7+'Bilan - Standardisé'!L18+Feuil1!K10-'Bilan - Standardisé'!L57-'Bilan - Standardisé'!L69-'Bilan - Standardisé'!L77</f>
        <v>90.566499999999991</v>
      </c>
      <c r="L32" t="s">
        <v>353</v>
      </c>
    </row>
    <row r="33" spans="1:12" ht="14.45" x14ac:dyDescent="0.35">
      <c r="A33" s="41" t="s">
        <v>326</v>
      </c>
      <c r="B33" s="45">
        <f>B32*1000000/B4</f>
        <v>-17.147049458713642</v>
      </c>
      <c r="C33" s="45">
        <f t="shared" ref="C33:K33" si="5">C32*1000000/C4</f>
        <v>-26.509893371441137</v>
      </c>
      <c r="D33" s="45">
        <f t="shared" si="5"/>
        <v>6.8319226118492268E-2</v>
      </c>
      <c r="E33" s="45">
        <f t="shared" si="5"/>
        <v>-3.4381898454753576E-2</v>
      </c>
      <c r="F33" s="45">
        <f t="shared" si="5"/>
        <v>51.27888314829066</v>
      </c>
      <c r="G33" s="45">
        <f t="shared" si="5"/>
        <v>36.331168831168824</v>
      </c>
      <c r="H33" s="45">
        <f t="shared" si="5"/>
        <v>38.778732480194996</v>
      </c>
      <c r="I33" s="45">
        <f t="shared" si="5"/>
        <v>128.77129798903107</v>
      </c>
      <c r="J33" s="45">
        <f t="shared" si="5"/>
        <v>141.24139051332037</v>
      </c>
      <c r="K33" s="45">
        <f t="shared" si="5"/>
        <v>117.69525666016892</v>
      </c>
    </row>
    <row r="34" spans="1:12" x14ac:dyDescent="0.25">
      <c r="A34" s="41" t="s">
        <v>327</v>
      </c>
      <c r="B34" s="39">
        <f>B32+'Bilan - Standardisé'!C26*0.8</f>
        <v>54.005650000000017</v>
      </c>
      <c r="C34" s="39">
        <f>C32+'Bilan - Standardisé'!D26*0.8</f>
        <v>43.767949999999999</v>
      </c>
      <c r="D34" s="39">
        <f>D32+'Bilan - Standardisé'!E26*0.8</f>
        <v>52.854149999999997</v>
      </c>
      <c r="E34" s="39">
        <f>E32+'Bilan - Standardisé'!F26*0.8</f>
        <v>51.313649999999996</v>
      </c>
      <c r="F34" s="39">
        <f>F32+'Bilan - Standardisé'!G26*0.8</f>
        <v>107.11320000000002</v>
      </c>
      <c r="G34" s="39">
        <f>G32+'Bilan - Standardisé'!H26*0.8</f>
        <v>95.81819999999999</v>
      </c>
      <c r="H34" s="39">
        <f>H32+'Bilan - Standardisé'!I26*0.8</f>
        <v>90.159549999999996</v>
      </c>
      <c r="I34" s="39">
        <f>I32+'Bilan - Standardisé'!J26*0.8</f>
        <v>132.05125000000001</v>
      </c>
      <c r="J34" s="39">
        <f>J32+'Bilan - Standardisé'!K26*0.8</f>
        <v>134.77485000000001</v>
      </c>
      <c r="K34" s="39">
        <f>K32+'Bilan - Standardisé'!L26*0.8</f>
        <v>122.92569999999999</v>
      </c>
      <c r="L34" t="s">
        <v>354</v>
      </c>
    </row>
    <row r="35" spans="1:12" ht="14.45" x14ac:dyDescent="0.35">
      <c r="A35" s="41" t="s">
        <v>328</v>
      </c>
      <c r="B35" s="45">
        <f>B34*1000000/B4</f>
        <v>57.318669072383798</v>
      </c>
      <c r="C35" s="45">
        <f t="shared" ref="C35:K35" si="6">C34*1000000/C4</f>
        <v>48.112509618555571</v>
      </c>
      <c r="D35" s="45">
        <f t="shared" si="6"/>
        <v>58.100637572826209</v>
      </c>
      <c r="E35" s="45">
        <f t="shared" si="6"/>
        <v>56.637582781456942</v>
      </c>
      <c r="F35" s="45">
        <f t="shared" si="6"/>
        <v>117.74563042761352</v>
      </c>
      <c r="G35" s="45">
        <f t="shared" si="6"/>
        <v>107.27519032691445</v>
      </c>
      <c r="H35" s="45">
        <f t="shared" si="6"/>
        <v>109.88366849482023</v>
      </c>
      <c r="I35" s="45">
        <f t="shared" si="6"/>
        <v>160.93997562461917</v>
      </c>
      <c r="J35" s="45">
        <f t="shared" si="6"/>
        <v>175.14600389863551</v>
      </c>
      <c r="K35" s="45">
        <f t="shared" si="6"/>
        <v>159.74749837556854</v>
      </c>
    </row>
    <row r="36" spans="1:12" ht="14.45" x14ac:dyDescent="0.35">
      <c r="A36" s="41" t="s">
        <v>329</v>
      </c>
      <c r="B36" s="49"/>
      <c r="C36" s="49"/>
      <c r="D36" s="49"/>
      <c r="E36" s="49"/>
      <c r="F36" s="49"/>
      <c r="G36" s="49"/>
      <c r="H36" s="49"/>
      <c r="I36" s="49"/>
      <c r="J36" s="49"/>
      <c r="K36" s="39"/>
    </row>
    <row r="37" spans="1:12" ht="14.45" x14ac:dyDescent="0.35">
      <c r="A37" s="42" t="s">
        <v>330</v>
      </c>
      <c r="B37" s="39"/>
      <c r="C37" s="39"/>
      <c r="D37" s="39"/>
      <c r="E37" s="39"/>
      <c r="F37" s="39"/>
      <c r="G37" s="39"/>
      <c r="H37" s="39"/>
      <c r="I37" s="39"/>
      <c r="J37" s="39"/>
      <c r="K37" s="50"/>
    </row>
    <row r="38" spans="1:12" ht="14.45" x14ac:dyDescent="0.35">
      <c r="A38" s="42" t="s">
        <v>331</v>
      </c>
      <c r="B38" s="51"/>
      <c r="C38" s="51"/>
      <c r="D38" s="51"/>
      <c r="E38" s="51"/>
      <c r="F38" s="51"/>
      <c r="G38" s="51"/>
      <c r="H38" s="51"/>
      <c r="I38" s="51"/>
      <c r="J38" s="51"/>
      <c r="K38" s="52">
        <v>163</v>
      </c>
    </row>
    <row r="39" spans="1:12" x14ac:dyDescent="0.25">
      <c r="A39" s="42" t="s">
        <v>332</v>
      </c>
      <c r="B39" s="51"/>
      <c r="C39" s="51"/>
      <c r="D39" s="51"/>
      <c r="E39" s="51"/>
      <c r="F39" s="51"/>
      <c r="G39" s="51"/>
      <c r="H39" s="51"/>
      <c r="I39" s="51"/>
      <c r="J39" s="51"/>
      <c r="K39" s="53">
        <f>K38/K33</f>
        <v>1.384932618573093</v>
      </c>
      <c r="L39" s="57" t="s">
        <v>355</v>
      </c>
    </row>
    <row r="40" spans="1:12" x14ac:dyDescent="0.25">
      <c r="A40" s="42" t="s">
        <v>333</v>
      </c>
      <c r="B40" s="51"/>
      <c r="C40" s="51"/>
      <c r="D40" s="51"/>
      <c r="E40" s="51"/>
      <c r="F40" s="51"/>
      <c r="G40" s="51"/>
      <c r="H40" s="51"/>
      <c r="I40" s="51"/>
      <c r="J40" s="51"/>
      <c r="K40" s="35">
        <f>K38/K35</f>
        <v>1.0203602664048284</v>
      </c>
      <c r="L40" s="57" t="s">
        <v>355</v>
      </c>
    </row>
    <row r="41" spans="1:12" ht="14.45" x14ac:dyDescent="0.35">
      <c r="A41" s="42" t="s">
        <v>334</v>
      </c>
      <c r="B41" s="51"/>
      <c r="C41" s="51"/>
      <c r="D41" s="51"/>
      <c r="E41" s="51"/>
      <c r="F41" s="51"/>
      <c r="G41" s="51"/>
      <c r="H41" s="51"/>
      <c r="I41" s="51"/>
      <c r="J41" s="51"/>
      <c r="K41" s="52" t="e">
        <f>K38/K37</f>
        <v>#DIV/0!</v>
      </c>
    </row>
    <row r="42" spans="1:12" ht="14.45" x14ac:dyDescent="0.35">
      <c r="A42" s="42" t="s">
        <v>335</v>
      </c>
      <c r="B42" s="51"/>
      <c r="C42" s="51"/>
      <c r="D42" s="51"/>
      <c r="E42" s="51"/>
      <c r="F42" s="51"/>
      <c r="G42" s="51"/>
      <c r="H42" s="51"/>
      <c r="I42" s="51"/>
      <c r="J42" s="51"/>
      <c r="K42" s="45" t="s">
        <v>336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 - Standardisé</vt:lpstr>
      <vt:lpstr>compte de résultat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lzweig</dc:creator>
  <cp:lastModifiedBy>mathieu nunes sanches</cp:lastModifiedBy>
  <dcterms:created xsi:type="dcterms:W3CDTF">2013-04-03T15:49:21Z</dcterms:created>
  <dcterms:modified xsi:type="dcterms:W3CDTF">2020-11-20T17:23:59Z</dcterms:modified>
</cp:coreProperties>
</file>